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10" yWindow="390" windowWidth="28440" windowHeight="12195"/>
  </bookViews>
  <sheets>
    <sheet name="Table1" sheetId="1" r:id="rId1"/>
  </sheets>
  <calcPr calcId="125725"/>
</workbook>
</file>

<file path=xl/calcChain.xml><?xml version="1.0" encoding="utf-8"?>
<calcChain xmlns="http://schemas.openxmlformats.org/spreadsheetml/2006/main">
  <c r="E343" i="1"/>
  <c r="D338"/>
  <c r="E339"/>
  <c r="D339"/>
  <c r="E167"/>
  <c r="F347"/>
  <c r="F346"/>
  <c r="F342"/>
  <c r="F332"/>
  <c r="F330"/>
  <c r="F326"/>
  <c r="F324"/>
  <c r="F322"/>
  <c r="F320"/>
  <c r="F312"/>
  <c r="F310"/>
  <c r="F308"/>
  <c r="F304"/>
  <c r="F302"/>
  <c r="F298"/>
  <c r="F290"/>
  <c r="F272"/>
  <c r="F270"/>
  <c r="F264"/>
  <c r="F250"/>
  <c r="F247"/>
  <c r="F243"/>
  <c r="F241"/>
  <c r="F239"/>
  <c r="F235"/>
  <c r="F228"/>
  <c r="F226"/>
  <c r="F222"/>
  <c r="F219"/>
  <c r="F212"/>
  <c r="F208"/>
  <c r="F207"/>
  <c r="F206"/>
  <c r="F204"/>
  <c r="F202"/>
  <c r="F201"/>
  <c r="F198"/>
  <c r="F194"/>
  <c r="F190"/>
  <c r="F186"/>
  <c r="F181"/>
  <c r="F176"/>
  <c r="F174"/>
  <c r="F172"/>
  <c r="F163"/>
  <c r="F161"/>
  <c r="F155"/>
  <c r="F153"/>
  <c r="F151"/>
  <c r="F147"/>
  <c r="F145"/>
  <c r="F143"/>
  <c r="F141"/>
  <c r="F139"/>
  <c r="F137"/>
  <c r="F135"/>
  <c r="F131"/>
  <c r="F129"/>
  <c r="F127"/>
  <c r="F125"/>
  <c r="F115"/>
  <c r="F111"/>
  <c r="F110"/>
  <c r="F109"/>
  <c r="F107"/>
  <c r="F105"/>
  <c r="F103"/>
  <c r="F101"/>
  <c r="F89"/>
  <c r="F85"/>
  <c r="F82"/>
  <c r="F78"/>
  <c r="F75"/>
  <c r="F73"/>
  <c r="F71"/>
  <c r="F64"/>
  <c r="F62"/>
  <c r="F60"/>
  <c r="F52"/>
  <c r="F48"/>
  <c r="F40"/>
  <c r="F32"/>
  <c r="F23"/>
  <c r="F19"/>
  <c r="F17"/>
  <c r="F13"/>
  <c r="F9"/>
  <c r="E345"/>
  <c r="E341"/>
  <c r="E337"/>
  <c r="E336" s="1"/>
  <c r="E335" s="1"/>
  <c r="E331"/>
  <c r="E329"/>
  <c r="E325"/>
  <c r="E323"/>
  <c r="E321"/>
  <c r="E319"/>
  <c r="E318"/>
  <c r="E317" s="1"/>
  <c r="E316"/>
  <c r="E311"/>
  <c r="E309"/>
  <c r="E307"/>
  <c r="E303"/>
  <c r="E301"/>
  <c r="E297"/>
  <c r="E295"/>
  <c r="E294"/>
  <c r="E293" s="1"/>
  <c r="E292"/>
  <c r="E289"/>
  <c r="E288" s="1"/>
  <c r="E284"/>
  <c r="E283"/>
  <c r="E282" s="1"/>
  <c r="E280"/>
  <c r="E279"/>
  <c r="E271"/>
  <c r="E269"/>
  <c r="E265"/>
  <c r="E263"/>
  <c r="E261"/>
  <c r="E258"/>
  <c r="E253"/>
  <c r="E252" s="1"/>
  <c r="E248"/>
  <c r="E246"/>
  <c r="E245"/>
  <c r="E244" s="1"/>
  <c r="E242"/>
  <c r="E240"/>
  <c r="E238"/>
  <c r="E236"/>
  <c r="E233"/>
  <c r="E231"/>
  <c r="E230"/>
  <c r="E227"/>
  <c r="E225"/>
  <c r="E223"/>
  <c r="E220"/>
  <c r="E218"/>
  <c r="E217"/>
  <c r="E216" s="1"/>
  <c r="E211"/>
  <c r="E210" s="1"/>
  <c r="E205"/>
  <c r="E203"/>
  <c r="E200"/>
  <c r="E197"/>
  <c r="E196" s="1"/>
  <c r="E193"/>
  <c r="E192"/>
  <c r="E191" s="1"/>
  <c r="E188"/>
  <c r="E185"/>
  <c r="E184"/>
  <c r="E180"/>
  <c r="E175"/>
  <c r="E173"/>
  <c r="E171"/>
  <c r="E162"/>
  <c r="E160"/>
  <c r="E159"/>
  <c r="E158" s="1"/>
  <c r="E154"/>
  <c r="E152"/>
  <c r="E150"/>
  <c r="E146"/>
  <c r="E144"/>
  <c r="E142"/>
  <c r="E140"/>
  <c r="E138"/>
  <c r="E136"/>
  <c r="E134"/>
  <c r="E133"/>
  <c r="E130"/>
  <c r="E128"/>
  <c r="E126"/>
  <c r="E124"/>
  <c r="E122"/>
  <c r="E121" s="1"/>
  <c r="E120"/>
  <c r="E114"/>
  <c r="E113"/>
  <c r="E112" s="1"/>
  <c r="E108"/>
  <c r="E106"/>
  <c r="E104"/>
  <c r="E102"/>
  <c r="E100"/>
  <c r="E97"/>
  <c r="E96"/>
  <c r="E93"/>
  <c r="E88"/>
  <c r="E87"/>
  <c r="E86" s="1"/>
  <c r="E84"/>
  <c r="E81"/>
  <c r="E80" s="1"/>
  <c r="E77"/>
  <c r="E76" s="1"/>
  <c r="E74"/>
  <c r="E72"/>
  <c r="E70"/>
  <c r="E69"/>
  <c r="E68" s="1"/>
  <c r="E67"/>
  <c r="E66" s="1"/>
  <c r="E63"/>
  <c r="E61"/>
  <c r="E59"/>
  <c r="E58"/>
  <c r="E56"/>
  <c r="E55" s="1"/>
  <c r="E54"/>
  <c r="E51"/>
  <c r="E49"/>
  <c r="E47"/>
  <c r="E45"/>
  <c r="E43"/>
  <c r="E42"/>
  <c r="E41" s="1"/>
  <c r="E39"/>
  <c r="E37"/>
  <c r="E35"/>
  <c r="E33"/>
  <c r="E31"/>
  <c r="E28"/>
  <c r="E26"/>
  <c r="E25"/>
  <c r="E22"/>
  <c r="E20"/>
  <c r="E18"/>
  <c r="E16"/>
  <c r="E15"/>
  <c r="E14" s="1"/>
  <c r="E12"/>
  <c r="E10"/>
  <c r="E8"/>
  <c r="D350"/>
  <c r="D349"/>
  <c r="D345"/>
  <c r="D344"/>
  <c r="D343" s="1"/>
  <c r="D341"/>
  <c r="D340"/>
  <c r="D337"/>
  <c r="D336" s="1"/>
  <c r="D335" s="1"/>
  <c r="D331"/>
  <c r="D329"/>
  <c r="D325"/>
  <c r="D323"/>
  <c r="D321"/>
  <c r="D319"/>
  <c r="D318"/>
  <c r="D316"/>
  <c r="D315" s="1"/>
  <c r="D311"/>
  <c r="D309"/>
  <c r="D307"/>
  <c r="D303"/>
  <c r="D301"/>
  <c r="D297"/>
  <c r="D296"/>
  <c r="D295" s="1"/>
  <c r="D294"/>
  <c r="D293" s="1"/>
  <c r="D292"/>
  <c r="D291" s="1"/>
  <c r="D289"/>
  <c r="D288" s="1"/>
  <c r="D287"/>
  <c r="D286" s="1"/>
  <c r="D285"/>
  <c r="D284" s="1"/>
  <c r="D283"/>
  <c r="D282" s="1"/>
  <c r="D281"/>
  <c r="D280" s="1"/>
  <c r="D279"/>
  <c r="D278"/>
  <c r="D277"/>
  <c r="D271"/>
  <c r="D269"/>
  <c r="D266"/>
  <c r="D265" s="1"/>
  <c r="D263"/>
  <c r="D262"/>
  <c r="D259"/>
  <c r="D258" s="1"/>
  <c r="D257" s="1"/>
  <c r="D254"/>
  <c r="D253" s="1"/>
  <c r="D252" s="1"/>
  <c r="D249"/>
  <c r="D248" s="1"/>
  <c r="D246"/>
  <c r="D245"/>
  <c r="D244" s="1"/>
  <c r="D242"/>
  <c r="D240"/>
  <c r="D238"/>
  <c r="D237"/>
  <c r="D236" s="1"/>
  <c r="D234"/>
  <c r="D233" s="1"/>
  <c r="D232"/>
  <c r="D231" s="1"/>
  <c r="D230"/>
  <c r="D229" s="1"/>
  <c r="D227"/>
  <c r="D225"/>
  <c r="D224"/>
  <c r="D223" s="1"/>
  <c r="D221"/>
  <c r="D220" s="1"/>
  <c r="D218"/>
  <c r="D217"/>
  <c r="D216" s="1"/>
  <c r="D211"/>
  <c r="D210" s="1"/>
  <c r="D209" s="1"/>
  <c r="D205"/>
  <c r="D203"/>
  <c r="D200"/>
  <c r="D197"/>
  <c r="D196" s="1"/>
  <c r="D193"/>
  <c r="D192"/>
  <c r="D191" s="1"/>
  <c r="D189"/>
  <c r="D188" s="1"/>
  <c r="D185"/>
  <c r="D184"/>
  <c r="D183"/>
  <c r="D180"/>
  <c r="D175"/>
  <c r="D173"/>
  <c r="D171"/>
  <c r="D168"/>
  <c r="D167" s="1"/>
  <c r="D162"/>
  <c r="D160"/>
  <c r="D159"/>
  <c r="D158" s="1"/>
  <c r="D154"/>
  <c r="D152"/>
  <c r="D150"/>
  <c r="D146"/>
  <c r="D144"/>
  <c r="D142"/>
  <c r="D140"/>
  <c r="D138"/>
  <c r="D136"/>
  <c r="D134"/>
  <c r="D133"/>
  <c r="D132" s="1"/>
  <c r="D130"/>
  <c r="D128"/>
  <c r="D126"/>
  <c r="D124"/>
  <c r="D122"/>
  <c r="D121" s="1"/>
  <c r="D120"/>
  <c r="D119" s="1"/>
  <c r="D114"/>
  <c r="D113"/>
  <c r="D112" s="1"/>
  <c r="D108"/>
  <c r="D106"/>
  <c r="D104"/>
  <c r="D102"/>
  <c r="D100"/>
  <c r="D97"/>
  <c r="D96"/>
  <c r="D93"/>
  <c r="D92" s="1"/>
  <c r="D91" s="1"/>
  <c r="D88"/>
  <c r="D87"/>
  <c r="D86" s="1"/>
  <c r="D84"/>
  <c r="D81"/>
  <c r="D80" s="1"/>
  <c r="D77"/>
  <c r="D76" s="1"/>
  <c r="D74"/>
  <c r="D72"/>
  <c r="D70"/>
  <c r="D69"/>
  <c r="D68" s="1"/>
  <c r="D67"/>
  <c r="D66" s="1"/>
  <c r="D63"/>
  <c r="D61"/>
  <c r="D59"/>
  <c r="D58"/>
  <c r="D57" s="1"/>
  <c r="D56"/>
  <c r="D54"/>
  <c r="D53" s="1"/>
  <c r="D51"/>
  <c r="D50"/>
  <c r="D49" s="1"/>
  <c r="D47"/>
  <c r="D46"/>
  <c r="D45" s="1"/>
  <c r="D44"/>
  <c r="D43" s="1"/>
  <c r="D42"/>
  <c r="D41" s="1"/>
  <c r="D39"/>
  <c r="D38"/>
  <c r="D37" s="1"/>
  <c r="D36"/>
  <c r="D35" s="1"/>
  <c r="D34"/>
  <c r="D33" s="1"/>
  <c r="D31"/>
  <c r="D29"/>
  <c r="D28" s="1"/>
  <c r="D27"/>
  <c r="D26" s="1"/>
  <c r="D25"/>
  <c r="D24" s="1"/>
  <c r="D22"/>
  <c r="D21"/>
  <c r="D20" s="1"/>
  <c r="D18"/>
  <c r="D16"/>
  <c r="D15"/>
  <c r="D14" s="1"/>
  <c r="D12"/>
  <c r="D11"/>
  <c r="D10" s="1"/>
  <c r="D8"/>
  <c r="D306" l="1"/>
  <c r="D305" s="1"/>
  <c r="E306"/>
  <c r="E305" s="1"/>
  <c r="D215"/>
  <c r="D170"/>
  <c r="D169" s="1"/>
  <c r="E170"/>
  <c r="E169" s="1"/>
  <c r="F59"/>
  <c r="F68"/>
  <c r="F158"/>
  <c r="F238"/>
  <c r="F244"/>
  <c r="F288"/>
  <c r="F318"/>
  <c r="D99"/>
  <c r="D98" s="1"/>
  <c r="F293"/>
  <c r="F311"/>
  <c r="E99"/>
  <c r="D95"/>
  <c r="D94" s="1"/>
  <c r="D90" s="1"/>
  <c r="E83"/>
  <c r="F12"/>
  <c r="F54"/>
  <c r="F70"/>
  <c r="F93"/>
  <c r="F345"/>
  <c r="F130"/>
  <c r="F138"/>
  <c r="D83"/>
  <c r="D79" s="1"/>
  <c r="F114"/>
  <c r="F175"/>
  <c r="F180"/>
  <c r="F341"/>
  <c r="F220"/>
  <c r="F262"/>
  <c r="F279"/>
  <c r="D300"/>
  <c r="D299" s="1"/>
  <c r="F88"/>
  <c r="F100"/>
  <c r="F106"/>
  <c r="F128"/>
  <c r="F136"/>
  <c r="F144"/>
  <c r="F196"/>
  <c r="F146"/>
  <c r="F284"/>
  <c r="F301"/>
  <c r="F319"/>
  <c r="F16"/>
  <c r="F25"/>
  <c r="F33"/>
  <c r="F225"/>
  <c r="F265"/>
  <c r="E276"/>
  <c r="F282"/>
  <c r="F295"/>
  <c r="F307"/>
  <c r="F316"/>
  <c r="F323"/>
  <c r="F336"/>
  <c r="F122"/>
  <c r="F14"/>
  <c r="F22"/>
  <c r="F31"/>
  <c r="F39"/>
  <c r="F63"/>
  <c r="F72"/>
  <c r="F84"/>
  <c r="E268"/>
  <c r="E267" s="1"/>
  <c r="F280"/>
  <c r="F159"/>
  <c r="F120"/>
  <c r="F168"/>
  <c r="F185"/>
  <c r="F217"/>
  <c r="F343"/>
  <c r="F41"/>
  <c r="D261"/>
  <c r="D260" s="1"/>
  <c r="D256" s="1"/>
  <c r="D328"/>
  <c r="D327" s="1"/>
  <c r="F80"/>
  <c r="E92"/>
  <c r="F126"/>
  <c r="F134"/>
  <c r="F142"/>
  <c r="F152"/>
  <c r="F162"/>
  <c r="F184"/>
  <c r="F193"/>
  <c r="F205"/>
  <c r="F223"/>
  <c r="F242"/>
  <c r="F287"/>
  <c r="F321"/>
  <c r="F331"/>
  <c r="F350"/>
  <c r="F245"/>
  <c r="F47"/>
  <c r="F56"/>
  <c r="D199"/>
  <c r="D195" s="1"/>
  <c r="E53"/>
  <c r="F53" s="1"/>
  <c r="F76"/>
  <c r="E95"/>
  <c r="E94" s="1"/>
  <c r="F104"/>
  <c r="F112"/>
  <c r="F124"/>
  <c r="F140"/>
  <c r="E149"/>
  <c r="F160"/>
  <c r="F173"/>
  <c r="F191"/>
  <c r="F203"/>
  <c r="F230"/>
  <c r="F248"/>
  <c r="F269"/>
  <c r="F292"/>
  <c r="F309"/>
  <c r="F221"/>
  <c r="F97"/>
  <c r="F154"/>
  <c r="F233"/>
  <c r="F263"/>
  <c r="F51"/>
  <c r="F58"/>
  <c r="F66"/>
  <c r="F74"/>
  <c r="F86"/>
  <c r="F102"/>
  <c r="F108"/>
  <c r="F121"/>
  <c r="F171"/>
  <c r="F200"/>
  <c r="F218"/>
  <c r="F227"/>
  <c r="F234"/>
  <c r="F240"/>
  <c r="F246"/>
  <c r="F278"/>
  <c r="F297"/>
  <c r="F325"/>
  <c r="F337"/>
  <c r="E257"/>
  <c r="F257" s="1"/>
  <c r="F258"/>
  <c r="E209"/>
  <c r="F209" s="1"/>
  <c r="F210"/>
  <c r="F231"/>
  <c r="F236"/>
  <c r="D187"/>
  <c r="F188"/>
  <c r="D251"/>
  <c r="F28"/>
  <c r="F37"/>
  <c r="F45"/>
  <c r="D7"/>
  <c r="D55"/>
  <c r="F55" s="1"/>
  <c r="F20"/>
  <c r="F35"/>
  <c r="F36"/>
  <c r="F69"/>
  <c r="F77"/>
  <c r="F81"/>
  <c r="F192"/>
  <c r="F237"/>
  <c r="F249"/>
  <c r="F259"/>
  <c r="F289"/>
  <c r="F340"/>
  <c r="D118"/>
  <c r="D276"/>
  <c r="D275" s="1"/>
  <c r="D348"/>
  <c r="F26"/>
  <c r="F43"/>
  <c r="E57"/>
  <c r="F57" s="1"/>
  <c r="D123"/>
  <c r="D149"/>
  <c r="D148" s="1"/>
  <c r="D182"/>
  <c r="D179" s="1"/>
  <c r="D317"/>
  <c r="D314" s="1"/>
  <c r="D313" s="1"/>
  <c r="D334"/>
  <c r="D333" s="1"/>
  <c r="F18"/>
  <c r="F49"/>
  <c r="F61"/>
  <c r="E119"/>
  <c r="F119" s="1"/>
  <c r="E182"/>
  <c r="E199"/>
  <c r="E195" s="1"/>
  <c r="E286"/>
  <c r="F286" s="1"/>
  <c r="E291"/>
  <c r="F291" s="1"/>
  <c r="E315"/>
  <c r="F315" s="1"/>
  <c r="F29"/>
  <c r="F34"/>
  <c r="F46"/>
  <c r="F96"/>
  <c r="F150"/>
  <c r="F183"/>
  <c r="F211"/>
  <c r="F224"/>
  <c r="F232"/>
  <c r="F254"/>
  <c r="F266"/>
  <c r="F271"/>
  <c r="F283"/>
  <c r="F296"/>
  <c r="F349"/>
  <c r="D65"/>
  <c r="D157"/>
  <c r="D156" s="1"/>
  <c r="D268"/>
  <c r="D267" s="1"/>
  <c r="F8"/>
  <c r="E24"/>
  <c r="F24" s="1"/>
  <c r="E123"/>
  <c r="E157"/>
  <c r="E187"/>
  <c r="E229"/>
  <c r="F229" s="1"/>
  <c r="E300"/>
  <c r="E328"/>
  <c r="E348"/>
  <c r="E338" s="1"/>
  <c r="F27"/>
  <c r="F44"/>
  <c r="F50"/>
  <c r="F67"/>
  <c r="F87"/>
  <c r="F113"/>
  <c r="F133"/>
  <c r="F253"/>
  <c r="F303"/>
  <c r="F329"/>
  <c r="F344"/>
  <c r="E166"/>
  <c r="E260"/>
  <c r="F11"/>
  <c r="F15"/>
  <c r="F21"/>
  <c r="F38"/>
  <c r="F42"/>
  <c r="F132"/>
  <c r="F189"/>
  <c r="F197"/>
  <c r="F277"/>
  <c r="F281"/>
  <c r="F285"/>
  <c r="F294"/>
  <c r="F10"/>
  <c r="E65"/>
  <c r="E275" l="1"/>
  <c r="E215"/>
  <c r="F339"/>
  <c r="D214"/>
  <c r="D213" s="1"/>
  <c r="F268"/>
  <c r="F95"/>
  <c r="D166"/>
  <c r="D165" s="1"/>
  <c r="D164" s="1"/>
  <c r="F94"/>
  <c r="F260"/>
  <c r="F348"/>
  <c r="F92"/>
  <c r="E91"/>
  <c r="F91" s="1"/>
  <c r="F149"/>
  <c r="E256"/>
  <c r="E255" s="1"/>
  <c r="F276"/>
  <c r="D274"/>
  <c r="D273" s="1"/>
  <c r="F65"/>
  <c r="E148"/>
  <c r="F148" s="1"/>
  <c r="F305"/>
  <c r="E30"/>
  <c r="D30"/>
  <c r="D6" s="1"/>
  <c r="D5" s="1"/>
  <c r="F187"/>
  <c r="F317"/>
  <c r="D117"/>
  <c r="D116" s="1"/>
  <c r="F83"/>
  <c r="F195"/>
  <c r="F199"/>
  <c r="D178"/>
  <c r="D177" s="1"/>
  <c r="F306"/>
  <c r="F167"/>
  <c r="D255"/>
  <c r="F261"/>
  <c r="E79"/>
  <c r="F79" s="1"/>
  <c r="E165"/>
  <c r="E251"/>
  <c r="F251" s="1"/>
  <c r="F252"/>
  <c r="E179"/>
  <c r="F182"/>
  <c r="E327"/>
  <c r="F327" s="1"/>
  <c r="F328"/>
  <c r="F216"/>
  <c r="F170"/>
  <c r="F169"/>
  <c r="E7"/>
  <c r="F7" s="1"/>
  <c r="E118"/>
  <c r="F123"/>
  <c r="E334"/>
  <c r="F335"/>
  <c r="E156"/>
  <c r="F156" s="1"/>
  <c r="F157"/>
  <c r="E98"/>
  <c r="F98" s="1"/>
  <c r="F99"/>
  <c r="E299"/>
  <c r="F299" s="1"/>
  <c r="F300"/>
  <c r="E314"/>
  <c r="F166" l="1"/>
  <c r="F256"/>
  <c r="F338"/>
  <c r="F255"/>
  <c r="F267"/>
  <c r="E90"/>
  <c r="F90" s="1"/>
  <c r="D351"/>
  <c r="E214"/>
  <c r="F215"/>
  <c r="F179"/>
  <c r="E178"/>
  <c r="E164"/>
  <c r="F164" s="1"/>
  <c r="F165"/>
  <c r="E333"/>
  <c r="F333" s="1"/>
  <c r="F334"/>
  <c r="F118"/>
  <c r="E117"/>
  <c r="E313"/>
  <c r="F313" s="1"/>
  <c r="F314"/>
  <c r="F30"/>
  <c r="E274"/>
  <c r="F275"/>
  <c r="E6"/>
  <c r="E5" l="1"/>
  <c r="F5" s="1"/>
  <c r="E177"/>
  <c r="F177" s="1"/>
  <c r="F178"/>
  <c r="E213"/>
  <c r="F213" s="1"/>
  <c r="F214"/>
  <c r="E273"/>
  <c r="F273" s="1"/>
  <c r="F274"/>
  <c r="E116"/>
  <c r="F116" s="1"/>
  <c r="F117"/>
  <c r="F6"/>
  <c r="E351" l="1"/>
  <c r="F351" s="1"/>
</calcChain>
</file>

<file path=xl/sharedStrings.xml><?xml version="1.0" encoding="utf-8"?>
<sst xmlns="http://schemas.openxmlformats.org/spreadsheetml/2006/main" count="773" uniqueCount="416">
  <si>
    <t>РАСПРЕДЕЛЕНИЕ БЮДЖЕТНЫХ АССИГНОВАНИЙ 
ПО ЦЕЛЕВЫМ СТАТЬЯМ (МУНИЦИПАЛЬНЫМ ПРОГРАММАМ И НЕПРОГРАММНЫМ НАПРАВЛЕНИЯМ ДЕЯТЕЛЬНОСТИ), ГРУППАМ ВИДОВ РАСХОДОВ КЛАССИФИКАЦИИ РАСХОДОВ БЮДЖЕТА 
НА 2024 год                                                                     руб.</t>
  </si>
  <si>
    <t>Наименование</t>
  </si>
  <si>
    <t>КЦСР</t>
  </si>
  <si>
    <t>КВР</t>
  </si>
  <si>
    <t>Муниципальная программа «Развитие образования, молодежной политики и физической культуры и спорта в муниципальном образовании "Дновский район"»</t>
  </si>
  <si>
    <t>0100000000</t>
  </si>
  <si>
    <t>Подпрограмма муниципальной программы «Развитие дошкольного, общего, дополнительного образования»</t>
  </si>
  <si>
    <t>0110000000</t>
  </si>
  <si>
    <t>Основное мероприятие «Дошкольное образование»</t>
  </si>
  <si>
    <t>0110100000</t>
  </si>
  <si>
    <t>Софинансирование расходов на осуществления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осваивающими образовательные программы дошкольного образования в организациях, осуществляющих образовательную деятельность</t>
  </si>
  <si>
    <t>01101W1400</t>
  </si>
  <si>
    <t>Предоставление субсидий бюджетным, автономным учреждениям и иным некоммерческим организациям</t>
  </si>
  <si>
    <t>600</t>
  </si>
  <si>
    <t>Расходы на обеспечение деятельности  (оказание услуг) муниципальных учреждений в рамках основного мероприятия  «Дошкольное образование» муниципальной программы  «Развитие образования, молодежной политики  и физической культуры и спорта  в муниципальном образовании»</t>
  </si>
  <si>
    <t>0110100790</t>
  </si>
  <si>
    <t>Создание условий для осуществления присмотра и ухода за детьми-инвалидами, детьми-сиротами и детьми, оставшимся без попечения родителей, а также за детьми с туберкулезной интоксикацией, осваивающими образовательные программы дошкольного образования в организациях, осуществляющих образовательную деятельность</t>
  </si>
  <si>
    <t>0110141400</t>
  </si>
  <si>
    <t>Реализация прав на получение общедоступного и бесплатного дошкольного образования в дошкольных образовательных организациях, общедоступного и бесплатного дошкольного, начального общего, основного общего, среднего общего образования, дополнительного образования детей в общеобразовательных организациях</t>
  </si>
  <si>
    <t>0110142010</t>
  </si>
  <si>
    <t>Выплата компенсации части родительской платы за присмотр и уход за детьми, осваивающими  образовательные программы дошкольного образования в организациях, осуществляющих образовательную деятельность</t>
  </si>
  <si>
    <t>0110142040</t>
  </si>
  <si>
    <t>Социальное обеспечение и иные выплаты населению</t>
  </si>
  <si>
    <t>300</t>
  </si>
  <si>
    <r>
      <t>Расходы на воспитание и обучение детей-инвалидов в муниципальных</t>
    </r>
    <r>
      <rPr>
        <sz val="8"/>
        <color rgb="FF000000"/>
        <rFont val="Times New Roman"/>
      </rPr>
      <t xml:space="preserve"> дошкольных</t>
    </r>
    <r>
      <rPr>
        <sz val="8"/>
        <color rgb="FF000000"/>
        <rFont val="Times New Roman"/>
      </rPr>
      <t xml:space="preserve"> образовательных учреждениях</t>
    </r>
  </si>
  <si>
    <t>0110143020</t>
  </si>
  <si>
    <t>Основное мероприятие «Общее образование»</t>
  </si>
  <si>
    <t>0110200000</t>
  </si>
  <si>
    <t>Расходы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</si>
  <si>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011ЕВ51790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</si>
  <si>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</si>
  <si>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01102L3040</t>
  </si>
  <si>
    <t>Софинансирование мероприятия по организации питания в муниципальных общеобразовательных учреждениях</t>
  </si>
  <si>
    <t>01102W1040</t>
  </si>
  <si>
    <t>Расходы на обеспечение деятельности  (оказание услуг) муниципальных учреждений в рамках основного мероприятия  «Общее образование» муниципальной программы  «Развитие образования, молодежной политики  и физической культуры и спорта  в муниципальном образовании»</t>
  </si>
  <si>
    <t>0110200790</t>
  </si>
  <si>
    <t>Расходы на организацию двухразового питания обучающихся с ограниченными возможностями здоровья в муниципальных образовательных организациях за счет средств местного бюджета</t>
  </si>
  <si>
    <t>0110220470</t>
  </si>
  <si>
    <t>Мероприятия по организации питания в муниципальных общеобразовательных учреждениях</t>
  </si>
  <si>
    <t>0110241040</t>
  </si>
  <si>
    <t>0110242010</t>
  </si>
  <si>
    <t>Расходы на выплату вознаграждения за выполнение функций классного руководителя педагогическим работникам муниципальных образовательных учреждений</t>
  </si>
  <si>
    <t>0110242020</t>
  </si>
  <si>
    <t>Компенсация расходов по оплате коммунальных услуг работникам, проживающим и работающим в сельских населенных пунктах, рабочих поселках (поселках городского типа)</t>
  </si>
  <si>
    <t>0110242150</t>
  </si>
  <si>
    <t>Расходы на предоставление педагогическим работникам муниципальных образовательных организаций отдельных мер социальной поддержки, предусмотренных Законом Псковской области «Об образовании в Псковской области»</t>
  </si>
  <si>
    <t>0110242170</t>
  </si>
  <si>
    <t>Выплата компенсации педагогическим работникам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</t>
  </si>
  <si>
    <t>0110242190</t>
  </si>
  <si>
    <t>Основное мероприятие «Дополнительное образование»</t>
  </si>
  <si>
    <t>0110300000</t>
  </si>
  <si>
    <t>Расходы на обеспечение деятельности  (оказание услуг) муниципальных учреждений в рамках основного мероприятия  «Дополнительное образование» муниципальной программы  «Развитие образования, молодежной политики  и физической культуры и спорта  в муниципальном образовании»</t>
  </si>
  <si>
    <t>0110300790</t>
  </si>
  <si>
    <t>0110342010</t>
  </si>
  <si>
    <t>Реализация инициативного проекта "Центр маленького гения. Продолжение"</t>
  </si>
  <si>
    <t>0110341830</t>
  </si>
  <si>
    <t>Софинансирование расходов на реализацию инициативного проекта "Центр маленького гения. Продолжение"</t>
  </si>
  <si>
    <t>01103W1830</t>
  </si>
  <si>
    <t>Расходы на реализацию инициативного проекта "Центр маленького гения. Продолжение" за счет инициативных платежей физических лиц и партнёров проекта</t>
  </si>
  <si>
    <t>0110320480</t>
  </si>
  <si>
    <t>Основное мероприятие «Проведение мероприятия по организации отдыха детей в каникулярное время»</t>
  </si>
  <si>
    <t>0110400000</t>
  </si>
  <si>
    <t>Мероприятия по проведению оздоровительной кампании детей</t>
  </si>
  <si>
    <t>0110420300</t>
  </si>
  <si>
    <t>Подпрограмма муниципальной программы «Молодое поколение»</t>
  </si>
  <si>
    <t>0120000000</t>
  </si>
  <si>
    <t>Основное мероприятие «Патриотическое воспитание»</t>
  </si>
  <si>
    <t>0120100000</t>
  </si>
  <si>
    <t>Мероприятия патриотической направленности</t>
  </si>
  <si>
    <t>0120120400</t>
  </si>
  <si>
    <t>Основное мероприятие «Молодежь»</t>
  </si>
  <si>
    <t>0120200000</t>
  </si>
  <si>
    <t>Мероприятия в области молодежной политики</t>
  </si>
  <si>
    <t>0120220500</t>
  </si>
  <si>
    <t>Реализация мероприятий по привлечению молодых специалистов – обеспечение мер поддержки (ежегодного материального стимулирования) гражданам, проходящим целевое обучение по образовательным программам среднего профессионального и высшего образования по педагогическим специальностям</t>
  </si>
  <si>
    <t>0120220550</t>
  </si>
  <si>
    <t>Расходы на реализацию мероприятий в рамках комплекса процессных мероприятий "Активная политика занятости населения и социальная поддержка безработных граждан"</t>
  </si>
  <si>
    <t>0120243040</t>
  </si>
  <si>
    <t>Подпрограмма муниципальной программы «Развитие системы защиты прав детей»</t>
  </si>
  <si>
    <t>0130000000</t>
  </si>
  <si>
    <t>Основное мероприятие «Организация и осуществление деятельности по опеке и попечительству в отношении несовершеннолетних»</t>
  </si>
  <si>
    <t>0130100000</t>
  </si>
  <si>
    <t>Предоставление жилых помещений детям-сиротам и  детям, оставшимся без попечения родителей, лицам из их числа  по договорам найма специализированных жилых помещений.</t>
  </si>
  <si>
    <t>01301А0820</t>
  </si>
  <si>
    <t>Капитальные вложения в объекты государственной (муниципальной) собственности</t>
  </si>
  <si>
    <t>400</t>
  </si>
  <si>
    <t>Основное мероприятие «Образование и обеспечение деятельности  комиссии по делам несовершеннолетних и защите их прав»»</t>
  </si>
  <si>
    <t>0130200000</t>
  </si>
  <si>
    <t>Расходы на выполнение государственных полномочий по образованию и обеспечению деятельности комиссий по делам несовершеннолетних и защите их прав</t>
  </si>
  <si>
    <t>0130242120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</si>
  <si>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</si>
  <si>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</si>
  <si>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Закупка товаров, работ и услуг для обеспечения государственных (муниципальных) нужд</t>
  </si>
  <si>
    <t>200</t>
  </si>
  <si>
    <t>Подпрограмма муниципальной программы «Развитие физической культуры и спорта»</t>
  </si>
  <si>
    <t>0140000000</t>
  </si>
  <si>
    <t>Основное мероприятие «Развитие физической культуры и спорта»</t>
  </si>
  <si>
    <t>0140100000</t>
  </si>
  <si>
    <t>Софинансирование расходов на проведение районных и областных спортивных мероприятий</t>
  </si>
  <si>
    <t>01401W1140</t>
  </si>
  <si>
    <t>Мероприятия в области физической культуры и спорта</t>
  </si>
  <si>
    <t>0140120800</t>
  </si>
  <si>
    <t>Укрепление материально-технической базы</t>
  </si>
  <si>
    <t>0140120900</t>
  </si>
  <si>
    <t>Иные бюджетные ассигнования</t>
  </si>
  <si>
    <t>800</t>
  </si>
  <si>
    <r>
      <rPr>
        <sz val="8"/>
        <rFont val="Times New Roman"/>
      </rPr>
      <t>Расходы на содержание физкультурно-оздоровительного комплекса открытого типа, построенного в рамках федерального проекта «Спорт – норма жизни»</t>
    </r>
  </si>
  <si>
    <t>0140120905</t>
  </si>
  <si>
    <r>
      <rPr>
        <sz val="8"/>
        <color rgb="FF000000"/>
        <rFont val="Times New Roman"/>
      </rPr>
      <t xml:space="preserve">Расходы на содержание </t>
    </r>
    <r>
      <rPr>
        <sz val="8"/>
        <color rgb="FF222222"/>
        <rFont val="Times New Roman"/>
      </rPr>
      <t>спортивной площадки, построенной по программе «Газпром-детям»</t>
    </r>
  </si>
  <si>
    <t>0140120906</t>
  </si>
  <si>
    <t>Межбюджетные трансферты</t>
  </si>
  <si>
    <r>
      <rPr>
        <sz val="8"/>
        <rFont val="Times New Roman"/>
      </rPr>
      <t>Расходы на содержание стадиона "Локомотив"</t>
    </r>
  </si>
  <si>
    <r>
      <rPr>
        <sz val="8"/>
        <color rgb="FF000000"/>
        <rFont val="Times New Roman"/>
      </rPr>
      <t>0140120907</t>
    </r>
  </si>
  <si>
    <r>
      <rPr>
        <sz val="8"/>
        <rFont val="Times New Roman"/>
      </rPr>
      <t>Предоставление субсидий бюджетным, автономным учреждениям и иным некоммерческим организациям</t>
    </r>
  </si>
  <si>
    <t>Обеспечение мер, направленных на привлечение жителей области к регулярным занятиям физической культурой и спортом</t>
  </si>
  <si>
    <t>0140141140</t>
  </si>
  <si>
    <t>Муниципальная программа «Развитие культуры в муниципальном образовании "Дновский район"»</t>
  </si>
  <si>
    <t>0200000000</t>
  </si>
  <si>
    <t>Подпрограмма муниципальной программы «Развитие культуры»</t>
  </si>
  <si>
    <t>0210000000</t>
  </si>
  <si>
    <t>Основное мероприятие «Развитие библиотечного дела»</t>
  </si>
  <si>
    <t>0210100000</t>
  </si>
  <si>
    <t>Расходы на обеспечение деятельности (оказание услуг) муниципальных учреждений в рамках основного мероприятия «Развитие библиотечного дела»</t>
  </si>
  <si>
    <t>0210121000</t>
  </si>
  <si>
    <t>Компенсация расходов по оплате коммунальных услуг работникам библиотечного дела, проживающим и работающим в сельских населенных пунктах, рабочих поселках (поселках городского типа)</t>
  </si>
  <si>
    <t>0210121200</t>
  </si>
  <si>
    <t>Основное мероприятие «Развитие системы культурно-досугового обслуживания населения»</t>
  </si>
  <si>
    <t>0210200000</t>
  </si>
  <si>
    <r>
      <rPr>
        <sz val="8"/>
        <color rgb="FF000000"/>
        <rFont val="Times New Roman"/>
      </rPr>
      <t>Расходы на обеспечение развития и укрепления материально-технической базы домов культуры в населенных пунктах с числом жителей до 50 тыс.человек</t>
    </r>
  </si>
  <si>
    <r>
      <rPr>
        <sz val="8"/>
        <color rgb="FF000000"/>
        <rFont val="Times New Roman"/>
      </rPr>
      <t>02102L4670</t>
    </r>
  </si>
  <si>
    <t>Расходы на обеспечение деятельности (оказание услуг) муниципальных учреждений в рамках основного мероприятия «Развитие системы культурно- досугового обслуживания населения</t>
  </si>
  <si>
    <t>0210221400</t>
  </si>
  <si>
    <t>Компенсация расходов по оплате коммунальных услуг работникам культурно-досугового обслуживания, проживающим и работающим в сельских населенных пунктах, рабочих поселках (поселках городского типа)</t>
  </si>
  <si>
    <t>0210221600</t>
  </si>
  <si>
    <t>Подпрограмма муниципальной программы "Туризм"</t>
  </si>
  <si>
    <t>0230000000</t>
  </si>
  <si>
    <t>Основное мероприятие "Информационное продвижение туристических продуктов"</t>
  </si>
  <si>
    <t>0230100000</t>
  </si>
  <si>
    <r>
      <rPr>
        <sz val="8"/>
        <color rgb="FF000000"/>
        <rFont val="Times New Roman"/>
      </rPr>
      <t>Софинансирование на расходы на установку знаков туристской навигации</t>
    </r>
  </si>
  <si>
    <r>
      <rPr>
        <sz val="8"/>
        <rFont val="Times New Roman"/>
      </rPr>
      <t>02301W1910</t>
    </r>
  </si>
  <si>
    <t>Информационное продвижение туристических продуктов</t>
  </si>
  <si>
    <t>0230121160</t>
  </si>
  <si>
    <r>
      <rPr>
        <sz val="8"/>
        <color rgb="FF000000"/>
        <rFont val="Times New Roman"/>
      </rPr>
      <t>Расходы на установку знаков туристской навигации</t>
    </r>
  </si>
  <si>
    <r>
      <rPr>
        <sz val="8"/>
        <rFont val="Times New Roman"/>
      </rPr>
      <t>0230141910</t>
    </r>
  </si>
  <si>
    <t>Подпрограмма муниципальной программы "Дополнительное образование в сфере культуры и искусства""</t>
  </si>
  <si>
    <t>0240000000</t>
  </si>
  <si>
    <t>Основное мероприятие "Предоставление дополнительного образования в сфере искусства"</t>
  </si>
  <si>
    <t>0240100000</t>
  </si>
  <si>
    <t>Расходы на обеспечение деятельности  (оказание услуг) муниципальных учреждений в рамках основного мероприятия  «Дополнительное образование в сфере культуры и искусства» муниципальной программы  «Развитие культуры в муниципальном образовании»</t>
  </si>
  <si>
    <t>0240100790</t>
  </si>
  <si>
    <t>0240142170</t>
  </si>
  <si>
    <t>Муниципальная программа «Содействие экономическому развитию и инвестиционной привлекательности муниципального образования "Дновский район"»</t>
  </si>
  <si>
    <t>0300000000</t>
  </si>
  <si>
    <t>Подпрограмма муниципальной программы «Повышение инвестиционной привлекательности муниципального образования»</t>
  </si>
  <si>
    <t>0310000000</t>
  </si>
  <si>
    <t>Основное мероприятие «Повышение инвестиционной активности, обеспечивающей экономический подъем и повышение уровня жизни населения»</t>
  </si>
  <si>
    <t>0310100000</t>
  </si>
  <si>
    <t>Подготовка документов территориального планирования, градостроительного зонирования и документации по планировке территории</t>
  </si>
  <si>
    <t>0310141270</t>
  </si>
  <si>
    <t>Подпрограмма муниципальной программы «Развитие и поддержка малого и среднего предпринимательства, социально ориентированных некоммерческих организаций»</t>
  </si>
  <si>
    <t>0320000000</t>
  </si>
  <si>
    <t>Основное мероприятие «Развитие и поддержка малого и среднего предпринимательства, социально ориентированных некоммерческих организаций»</t>
  </si>
  <si>
    <t>0320100000</t>
  </si>
  <si>
    <t>Софинансирование расходов на реализацию муниципальных программ поддержки социально ориентированных некоммерческих организаций</t>
  </si>
  <si>
    <t>03201W1500</t>
  </si>
  <si>
    <t>Расходы на финансирование мероприятий по поддержке реализации добровольческих, общественных и молодежных инициатив и проектов</t>
  </si>
  <si>
    <t>0320120350</t>
  </si>
  <si>
    <t>Реализация муниципальных программ поддержки социально ориентированных некоммерческих организаций</t>
  </si>
  <si>
    <t>0320141500</t>
  </si>
  <si>
    <t>Муниципальная программа «Обеспечение безопасности граждан на территории муниципального образования "Дновский район"»</t>
  </si>
  <si>
    <t>0400000000</t>
  </si>
  <si>
    <t>Подпрограмма муниципальной программы «Пожарная безопасность и гражданская оборона муниципального образования»</t>
  </si>
  <si>
    <t>0410000000</t>
  </si>
  <si>
    <t>Основное мероприятие «Обеспечение первичных мер пожарной безопасности»</t>
  </si>
  <si>
    <t>0410100000</t>
  </si>
  <si>
    <t>Софинансирование мероприятий по обеспечению пожарной безопасности в органах исполнительной власти области и муниципальных образованиях</t>
  </si>
  <si>
    <t>04101W1340</t>
  </si>
  <si>
    <t>Мероприятия , направленные на укрепление пожарной безопасности муниципального образования</t>
  </si>
  <si>
    <t>0410122100</t>
  </si>
  <si>
    <t>Обеспечение пожарной безопасности в органах исполнительной власти области и муниципальных образованиях</t>
  </si>
  <si>
    <t>0410141340</t>
  </si>
  <si>
    <t>Основное мероприятие «Обеспечение мер по гражданской обороне»</t>
  </si>
  <si>
    <t>0410200000</t>
  </si>
  <si>
    <t>Мероприятия, направленные на функционирование единой дежурной диспетчерской службы</t>
  </si>
  <si>
    <t>0410222200</t>
  </si>
  <si>
    <t>Мероприятия по гражданской обороне</t>
  </si>
  <si>
    <t>0410222400</t>
  </si>
  <si>
    <t>Обеспечение безопасности и защиты информации</t>
  </si>
  <si>
    <t>0410222450</t>
  </si>
  <si>
    <t>Подпрограмма муниципальной программы «Профилактика преступлений и правонарушений, в том числе экстремистской и террористической направленности на территории муниципального образования»</t>
  </si>
  <si>
    <t>0420000000</t>
  </si>
  <si>
    <t>Основное мероприятие «Профилактика экстремизма и терроризма»</t>
  </si>
  <si>
    <t>0420100000</t>
  </si>
  <si>
    <t>Мероприятия по обеспечению общественного порядка и противодействие преступности</t>
  </si>
  <si>
    <t>0420122600</t>
  </si>
  <si>
    <t>Основное мероприятие «Профилактика правонарушений и преступлений»</t>
  </si>
  <si>
    <t>0420200000</t>
  </si>
  <si>
    <t>Работа с несовершеннолетними, находящимися в конфликте с законом и состоящими на учете в ОВД</t>
  </si>
  <si>
    <t>0420221802</t>
  </si>
  <si>
    <t>Развитие и совершенствование института добровольных дружин за счет средств областного бюджета</t>
  </si>
  <si>
    <t>0420241350</t>
  </si>
  <si>
    <t>Подпрограмма муниципальной программы «Антинаркотическая деятельность на территории муниципального образования»</t>
  </si>
  <si>
    <t>0430000000</t>
  </si>
  <si>
    <t>Основное мероприятие «Антинаркотическая деятельность на территории муниципального образования»</t>
  </si>
  <si>
    <t>0430100000</t>
  </si>
  <si>
    <t>Мероприятия по осуществлению антинаркотической пропаганды и антинаркотического просвещения</t>
  </si>
  <si>
    <t>0430122700</t>
  </si>
  <si>
    <t xml:space="preserve">Муниципальная программа «Комплексное развитие систем коммунальной инфраструктуры и благоустройства муниципального образования "Дновский район" </t>
  </si>
  <si>
    <t>0500000000</t>
  </si>
  <si>
    <t>Подпрограмма муниципальной программы «Комплексное развитие систем коммунальной инфраструктуры муниципального образования»</t>
  </si>
  <si>
    <t>0510000000</t>
  </si>
  <si>
    <t>Основное мероприятие «Комплексное развитие систем коммунальной инфраструктуры  муниципального образования»</t>
  </si>
  <si>
    <t>0510100000</t>
  </si>
  <si>
    <t>Расходы на подготовку проектов межевания земельных участков и на проведение кадастровых работ</t>
  </si>
  <si>
    <t>05101L5990</t>
  </si>
  <si>
    <t>Разработка проектно-сметной документации на строительство очистных сооружений</t>
  </si>
  <si>
    <t>0510120110</t>
  </si>
  <si>
    <r>
      <rPr>
        <sz val="8"/>
        <color rgb="FF000000"/>
        <rFont val="Times New Roman"/>
      </rPr>
      <t>Расходы на подготовку к отопительному сезону</t>
    </r>
    <r>
      <rPr>
        <sz val="11"/>
        <color rgb="FF000000"/>
        <rFont val="Calibri"/>
      </rPr>
      <t xml:space="preserve">
</t>
    </r>
  </si>
  <si>
    <t>0510120250</t>
  </si>
  <si>
    <t>Осуществление расходов по содержанию имущества, оплата взносов на капитальный ремонт</t>
  </si>
  <si>
    <t>0510122900</t>
  </si>
  <si>
    <t>Содержание муниципальной казны</t>
  </si>
  <si>
    <t>0510122902</t>
  </si>
  <si>
    <t>Организация тепло-, газо-, водоснабжения и водоотведения населения и объектов жизнеобеспечения собственности</t>
  </si>
  <si>
    <t>0510123000</t>
  </si>
  <si>
    <t>Выполнение комплекса работ по охране и поддержанию противопожарной безопасности на полигоне твердых бытовых отходов, расположенного на территории муниципального образования "Дновский район"</t>
  </si>
  <si>
    <t>0510126010</t>
  </si>
  <si>
    <t>Расходы на проведение ремонта (реконструкции) и благоустройство воинских захоронений, памятников и памятных знаков, увековечивающих память погибших при защите Отечества, на территории муниципального образования.</t>
  </si>
  <si>
    <t>0510141130</t>
  </si>
  <si>
    <t>500</t>
  </si>
  <si>
    <t>Расходы на ликвидацию очагов сорного растения борщевик Сосновского</t>
  </si>
  <si>
    <t>0510141570</t>
  </si>
  <si>
    <t>Расходы на осуществление полномочий в сфере увековечения памяти погибших при защите Отечества</t>
  </si>
  <si>
    <t>0510142210</t>
  </si>
  <si>
    <t>0510145010</t>
  </si>
  <si>
    <t>05101W5010</t>
  </si>
  <si>
    <t>Подпрограмма муниципальной программы «Благоустройство»</t>
  </si>
  <si>
    <t>0550000000</t>
  </si>
  <si>
    <t>Основное мероприятие  «Санитарно-эпидемиологические мероприятия»</t>
  </si>
  <si>
    <t>0550100000</t>
  </si>
  <si>
    <t>Мероприятия по осуществлению деятельности по обращению с животными без владельцев за счет средств областного бюджета</t>
  </si>
  <si>
    <t>0550142200</t>
  </si>
  <si>
    <t>Муниципальная программа «Развитие транспортной системы  на территории муниципального образования «Дновский район»»</t>
  </si>
  <si>
    <t>0600000000</t>
  </si>
  <si>
    <t>Подпрограмма муниципальной программы «Сохранение и развитие автомобильных дорог общего пользования местного значения в муниципальном образовании»</t>
  </si>
  <si>
    <t>0610000000</t>
  </si>
  <si>
    <t>Основное мероприятие «Содержание автомобильных дорог общего пользования местного значения»</t>
  </si>
  <si>
    <t>0610100000</t>
  </si>
  <si>
    <t>Содержание автомобильных дорог общего пользования местного значения  и сооружений на них, нацеленное на обеспечение их проезжаемости и безопасности</t>
  </si>
  <si>
    <t>0610124100</t>
  </si>
  <si>
    <t>Основное  мероприятие «Осуществление дорожной деятельности»</t>
  </si>
  <si>
    <t>0610200000</t>
  </si>
  <si>
    <t>Софинансирование из местно бюджета на осуществление дорожной деятельности, а так же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</si>
  <si>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06102W1190</t>
  </si>
  <si>
    <t>Расходы на ремонт мостов за счет средств городского поселения</t>
  </si>
  <si>
    <t>0610224200</t>
  </si>
  <si>
    <t>Осуществление дорожной деятельности, а также на капитальный ремонт и ремонт дворовых территорий многоквартирных домов, проездов к дворовым территориям многоквартирных домов населенных пунктов в рамках основного мероприятия "Выполнение работ по обеспечению сохранности и приведению в нормативное состояние автомобильных дорог общего пользования местного значения, дворовых территорий и проездов к ним"</t>
  </si>
  <si>
    <t>0610241190</t>
  </si>
  <si>
    <t>Подпрограмма муниципальной программы «Повышение безопасности дорожного движения»</t>
  </si>
  <si>
    <t>0620000000</t>
  </si>
  <si>
    <t>Основное мероприятие "Приобретение дорожной техники"</t>
  </si>
  <si>
    <t>0620200000</t>
  </si>
  <si>
    <t>Софинансирование расходов на приобретение дорожной техники</t>
  </si>
  <si>
    <t>06202W1930</t>
  </si>
  <si>
    <t>Расходы на приобретение дорожной техники</t>
  </si>
  <si>
    <t>0620241930</t>
  </si>
  <si>
    <t>Муниципальная программа «Управление и обеспечение деятельности администрации муниципального образования, создание условий для эффективного управления муниципальными финансами и муниципальным долгом в муниципальном образовании "Дновский район"»</t>
  </si>
  <si>
    <t>0700000000</t>
  </si>
  <si>
    <t>Подпрограмма муниципальной программы «Обеспечение функционирования администрации муниципального образования»</t>
  </si>
  <si>
    <t>0710000000</t>
  </si>
  <si>
    <t>Основное мероприятие «Функционирование   администрации муниципального образования»</t>
  </si>
  <si>
    <t>0710100000</t>
  </si>
  <si>
    <t>Расходы на выплаты по оплате труда и обеспечение функций муниципальных органов</t>
  </si>
  <si>
    <t>0710100900</t>
  </si>
  <si>
    <t>Расходы на выплаты по оплате труда работникам, занимающим должности, не отнесенные к должностям муниципальной службы</t>
  </si>
  <si>
    <t>0710100901</t>
  </si>
  <si>
    <t>Обеспечение информированности населения о деятельности органов местного самоуправления</t>
  </si>
  <si>
    <t>0710121111</t>
  </si>
  <si>
    <t>Обеспечение профессиональной переподготовки, повышения квалификации, стимулирования профессионального роста, закрепление молодых специалистов в районе</t>
  </si>
  <si>
    <t>0710125200</t>
  </si>
  <si>
    <t>Оценка недвижимости, признание прав регулирования отношений по муниципальной собственности</t>
  </si>
  <si>
    <t>0710125500</t>
  </si>
  <si>
    <t>Расходы на проведение выборов в органы местного самоуправления</t>
  </si>
  <si>
    <t>Расходы на исполнение государственных полномочий по сбору информации, необходимой для ведения регистра муниципальных нормативных правовых актов Псковской области</t>
  </si>
  <si>
    <t>0710142130</t>
  </si>
  <si>
    <t>Предоставление субвенции на осуществление полномочий по первичному воинскому учету на территориях, где отсутствуют военные комиссариаты</t>
  </si>
  <si>
    <t>0710151180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</si>
  <si>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</si>
  <si>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0710151200</t>
  </si>
  <si>
    <t>Подпрограмма муниципальной программы «Обеспечение общего порядка и противодействие коррупции»</t>
  </si>
  <si>
    <t>0720000000</t>
  </si>
  <si>
    <t>Основное мероприятие «Обеспечение общего порядка и противодействие коррупции»</t>
  </si>
  <si>
    <t>0720100000</t>
  </si>
  <si>
    <t>Повышение квалификации муниципальных служащих, в должностные обязанности которых входит участие в противодействии коррупции</t>
  </si>
  <si>
    <t>0720125210</t>
  </si>
  <si>
    <t>Расходы на исполнение государственных полномочий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</t>
  </si>
  <si>
    <t>0720142140</t>
  </si>
  <si>
    <t>Подпрограмма муниципальной программы «Совершенствование, развитие бюджетного процесса и управление муниципальным долгом»</t>
  </si>
  <si>
    <t>0730000000</t>
  </si>
  <si>
    <t>Основное мероприятие «Совершенствование и развитие бюджетного процесса»</t>
  </si>
  <si>
    <t>0730100000</t>
  </si>
  <si>
    <t>Софинансирование на выравнивание бюджетной обеспеченности поселений из бюджета муниципального района</t>
  </si>
  <si>
    <t>07301W1250</t>
  </si>
  <si>
    <t>Выравнивание бюджетной обеспеченности поселений из бюджета муниципального района</t>
  </si>
  <si>
    <t>0730141250</t>
  </si>
  <si>
    <t>Исполнение полномочий органов государственной власти Псковской области по расчету и предоставлению дотаций бюджетам поселений</t>
  </si>
  <si>
    <t>0730142110</t>
  </si>
  <si>
    <t>Подпрограмма муниципальной программы «Социальная поддержка граждан и реализация демографической политики»</t>
  </si>
  <si>
    <t>0740000000</t>
  </si>
  <si>
    <t>Основное мероприятие «Социальная поддержка граждан и реализация демографической политики»</t>
  </si>
  <si>
    <t>0740100000</t>
  </si>
  <si>
    <t>Доплаты к пенсиям муниципальным служащим</t>
  </si>
  <si>
    <t>0740125400</t>
  </si>
  <si>
    <t>Содействие активному участию пожилых граждан в жизни общества</t>
  </si>
  <si>
    <t>0740127600</t>
  </si>
  <si>
    <t>Предоставление субсидий общественной организации инвалидов</t>
  </si>
  <si>
    <t>0740127601</t>
  </si>
  <si>
    <t>Выплата доплат к трудовым пенсиям лицам, замещавшим должности в органах государственной власти и управления районов Псковской области и городов Пскова, и Великие Луки, должности в органах местного самоуправления до 13 марта 1997 года</t>
  </si>
  <si>
    <t>0740142070</t>
  </si>
  <si>
    <r>
      <rPr>
        <b/>
        <i/>
        <sz val="8"/>
        <color rgb="FF000000"/>
        <rFont val="Times New Roman"/>
      </rPr>
      <t>Подпрограмма «Вовлечение населения в осуществление местного самоуправления, поддержка гражданских инициатив»</t>
    </r>
  </si>
  <si>
    <t>0750000000</t>
  </si>
  <si>
    <r>
      <rPr>
        <i/>
        <sz val="8"/>
        <color rgb="FF000000"/>
        <rFont val="Times New Roman"/>
      </rPr>
      <t>Основное мероприятие  «Развитие институтов территориального общественного самоуправления и поддержку проектов местных инициатив»</t>
    </r>
  </si>
  <si>
    <t>0750100000</t>
  </si>
  <si>
    <r>
      <rPr>
        <sz val="8"/>
        <color rgb="FF000000"/>
        <rFont val="Times New Roman"/>
      </rPr>
      <t>Расходы на реализацию инициативных проектов</t>
    </r>
  </si>
  <si>
    <t>0750121300</t>
  </si>
  <si>
    <t>Муниципальная программа "Формирование комфортной городской среды в г. Дно Дновского района"</t>
  </si>
  <si>
    <t>0900000000</t>
  </si>
  <si>
    <t>Подпрограмма муниципальной программы "Благоустройство дворовых территорий и общественных территорий общего пользования г.Дно Дновского района"</t>
  </si>
  <si>
    <t>0910000000</t>
  </si>
  <si>
    <t>Основное мероприятие «Благоустройство дворовых территорий и территорий общего пользования г. Дно Дновского района»</t>
  </si>
  <si>
    <t>0910100000</t>
  </si>
  <si>
    <t>Расходы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</si>
  <si>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091F255550</t>
  </si>
  <si>
    <t>Непрограммные расходы</t>
  </si>
  <si>
    <t>9000000000</t>
  </si>
  <si>
    <t>Резервный фонд администрации муниципального района в рамках непрограммного направления деятельности</t>
  </si>
  <si>
    <t>9090020001</t>
  </si>
  <si>
    <t>Выполнение прочих функций органами местного самоуправления</t>
  </si>
  <si>
    <t>9090020004</t>
  </si>
  <si>
    <t>Обслуживание муниципального долга</t>
  </si>
  <si>
    <t>9090020007</t>
  </si>
  <si>
    <t>Обслуживание государственного (муниципального) долга</t>
  </si>
  <si>
    <t>Выплаты, связанные с депутатской деятельностью</t>
  </si>
  <si>
    <t>9090300900</t>
  </si>
  <si>
    <t>Обеспечение деятельности контрольно-счетного органа</t>
  </si>
  <si>
    <t>9090400900</t>
  </si>
  <si>
    <t>ИТОГО:</t>
  </si>
  <si>
    <t>Софинансирование расходов на реализацию проекта ТОС «Безопасный детский сад – 2»</t>
  </si>
  <si>
    <t>Расходы на реализацию проекта ТОС "Безопасный детский сад – 2"за счет инициативных платежей физических лиц и партнеров проекта</t>
  </si>
  <si>
    <t>Расходы на реализацию проекта ТОС "Безопасный детский сад – 2"</t>
  </si>
  <si>
    <t>01101W1564</t>
  </si>
  <si>
    <t>0110121564</t>
  </si>
  <si>
    <t>0110141564</t>
  </si>
  <si>
    <t>Софинансирование расходов на изготовление проектно-сметной документации для установки модульной котельной детского сада "Солнышко"</t>
  </si>
  <si>
    <t>01101W1010</t>
  </si>
  <si>
    <t>Расходы на изготовление проектно-сметной документации для установки модульной котельной детского сада "Солнышко"</t>
  </si>
  <si>
    <t>0110141010</t>
  </si>
  <si>
    <t>Софинансирование расходов на реализацию проекта ТОС «Благоустройство школьной спортивной площадки»</t>
  </si>
  <si>
    <t>01102W1561</t>
  </si>
  <si>
    <t>Расходы на реализацию проекта ТОС "Благоустройство школьной спортивной площадки" за счет инициативных платежей физических лиц и партнеров проекта</t>
  </si>
  <si>
    <t>0110221561</t>
  </si>
  <si>
    <t>Расходы на реализацию проекта ТОС «Благоустройство школьной спортивной площадки»</t>
  </si>
  <si>
    <t>0110241561</t>
  </si>
  <si>
    <t>Расходы на благоустройство части территории муниципального общеобразовательного учреждения "Средняя общеобразовательная школа № 1" в г. Дно"</t>
  </si>
  <si>
    <t>0110220440</t>
  </si>
  <si>
    <t>Софинансирование расходов на реализацию проекта ТОС «Гостеприимное крыльцо»</t>
  </si>
  <si>
    <t>Софинансирование расходов на реализацию проекта ТОС «Современный зал хореографии для ансамбля танца «Контраст»</t>
  </si>
  <si>
    <t xml:space="preserve">Софинансирование расходов на реализацию проекта ТОС «Культурный центр – 1 ч.» </t>
  </si>
  <si>
    <t>02102W1562</t>
  </si>
  <si>
    <t>02102W1565</t>
  </si>
  <si>
    <t>02102W1566</t>
  </si>
  <si>
    <t xml:space="preserve">Расходы на реализацию проекта ТОС «Гостеприимное крыльцо» за счет инициативных платежей физических лиц и партнеров проекта </t>
  </si>
  <si>
    <t>Расходы на реализацию проекта ТОС «Современный зал хореографии для ансамбля танца «Контраст» за счет инициативных платежей физических лиц и партнеров проекта</t>
  </si>
  <si>
    <t>Расходы на реализацию проекта ТОС «Культурный центр – 1 ч.» за счет инициативных платежей физических лиц и партнеров проекта</t>
  </si>
  <si>
    <t>0210221562</t>
  </si>
  <si>
    <t>0210221565</t>
  </si>
  <si>
    <t>0210221566</t>
  </si>
  <si>
    <t>Расходы на реализацию проекта ТОС «Гостеприимное крыльцо»</t>
  </si>
  <si>
    <t>Расходы на реализацию проекта ТОС «Современный зал хореографии для ансамбля танца «Контраст»</t>
  </si>
  <si>
    <t>Расходы на реализацию проекта ТОС «Культурный центр – 1 ч.»</t>
  </si>
  <si>
    <t>0210241562</t>
  </si>
  <si>
    <t>0210241565</t>
  </si>
  <si>
    <t>0210241566</t>
  </si>
  <si>
    <t>Расходы на строительство, реконструкцию, капитальный ремонт и техническое перевооружение объектов коммунальной инфраструктуры</t>
  </si>
  <si>
    <t>Софинансирование расходов на строительство, реконструкцию, капитальный ремонт и техническое перевооружение объектов коммунальной инфраструктуры</t>
  </si>
  <si>
    <t>Софинансирование расходов на реализацию проекта ТОС «Вода – начало жизни»</t>
  </si>
  <si>
    <t>05101W1563</t>
  </si>
  <si>
    <t>Расходы на реализацию проекта ТОС «Вода – начало жизни» за счет инициативных платежей физических лиц и партнеров проекта</t>
  </si>
  <si>
    <t>0510121563</t>
  </si>
  <si>
    <t xml:space="preserve">Расходы на реализацию проекта ТОС «Вода – начало жизни» </t>
  </si>
  <si>
    <t>0510141563</t>
  </si>
  <si>
    <t>Выплаты, связанные с празднованием 9 мая</t>
  </si>
  <si>
    <t>0740127602</t>
  </si>
  <si>
    <t>Социальная поддержка граждан за счет средств резервного фонда Администрации области</t>
  </si>
  <si>
    <t>0740100010</t>
  </si>
  <si>
    <t>Расходы на ежемесячное денежное вознаграждение за классное руководство педагогическим работникам  государственных и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</si>
  <si>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01102L3030</t>
  </si>
  <si>
    <t>Проведение экспертизы нежилого здания спортивного комплекса в г.Дно</t>
  </si>
  <si>
    <t>0140120908</t>
  </si>
  <si>
    <t>Поощрение муниципальных управленческих команд за достижение показателей деятельности органов исполнительной власти</t>
  </si>
  <si>
    <t>0710175490</t>
  </si>
  <si>
    <t>0710142220</t>
  </si>
  <si>
    <t>Расходы на разработку пректно-сметной документации на капитальный ремонт здания Дновской детской школы искусств</t>
  </si>
  <si>
    <t>0240120120</t>
  </si>
  <si>
    <t>Расходы на реализацию инициативных проектов за счет инициативных платежей юридических и физических лиц</t>
  </si>
  <si>
    <t>0750121301</t>
  </si>
  <si>
    <t>Расходы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государственных, муниципальных общеобразовательных организаций, профессиональных образовательных организаций</t>
  </si>
  <si>
    <t>0110250500</t>
  </si>
  <si>
    <t>Софинансирование расходов на развитие и совершенствование института добровольных дружин</t>
  </si>
  <si>
    <t>04202W1350</t>
  </si>
  <si>
    <t>Расходы на оплату строительного контроля</t>
  </si>
  <si>
    <t>0510120130</t>
  </si>
  <si>
    <t xml:space="preserve">Приложение 18 </t>
  </si>
  <si>
    <t>Утверждено Решением о бюджете, руб.</t>
  </si>
  <si>
    <t xml:space="preserve"> Исполнение, руб. </t>
  </si>
  <si>
    <t xml:space="preserve"> Исполнение,%  </t>
  </si>
</sst>
</file>

<file path=xl/styles.xml><?xml version="1.0" encoding="utf-8"?>
<styleSheet xmlns="http://schemas.openxmlformats.org/spreadsheetml/2006/main">
  <numFmts count="2">
    <numFmt numFmtId="164" formatCode="_-* #,##0.00&quot;р.&quot;_-;\-* #,##0.00&quot;р.&quot;_-;_-* \-??&quot;р.&quot;_-;_-@_-"/>
    <numFmt numFmtId="165" formatCode="000000"/>
  </numFmts>
  <fonts count="19">
    <font>
      <sz val="11"/>
      <color rgb="FF000000"/>
      <name val="Calibri"/>
    </font>
    <font>
      <sz val="10"/>
      <color rgb="FF000000"/>
      <name val="Times New Roman"/>
    </font>
    <font>
      <sz val="8"/>
      <color rgb="FF000000"/>
      <name val="Times New Roman"/>
    </font>
    <font>
      <sz val="9"/>
      <name val="Times New Roman"/>
    </font>
    <font>
      <b/>
      <sz val="7.5"/>
      <color rgb="FF000000"/>
      <name val="Times New Roman"/>
    </font>
    <font>
      <b/>
      <sz val="8"/>
      <color rgb="FF000000"/>
      <name val="Times New Roman"/>
    </font>
    <font>
      <b/>
      <i/>
      <sz val="8"/>
      <color rgb="FF000000"/>
      <name val="Times New Roman"/>
    </font>
    <font>
      <i/>
      <sz val="8"/>
      <color rgb="FF000000"/>
      <name val="Times New Roman"/>
    </font>
    <font>
      <sz val="8"/>
      <name val="Times New Roman"/>
    </font>
    <font>
      <i/>
      <sz val="8"/>
      <name val="Times New Roman"/>
    </font>
    <font>
      <b/>
      <sz val="8"/>
      <name val="Times New Roman"/>
    </font>
    <font>
      <b/>
      <i/>
      <sz val="8"/>
      <color theme="1"/>
      <name val="Times New Roman"/>
    </font>
    <font>
      <i/>
      <sz val="8"/>
      <color theme="1"/>
      <name val="Times New Roman"/>
    </font>
    <font>
      <b/>
      <i/>
      <sz val="8"/>
      <name val="Times New Roman"/>
    </font>
    <font>
      <sz val="8"/>
      <color theme="1"/>
      <name val="Times New Roman"/>
    </font>
    <font>
      <sz val="8"/>
      <color rgb="FF222222"/>
      <name val="Times New Roman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164" fontId="0" fillId="0" borderId="0">
      <alignment vertical="top" wrapText="1"/>
    </xf>
  </cellStyleXfs>
  <cellXfs count="73">
    <xf numFmtId="164" fontId="1" fillId="0" borderId="0" xfId="0" applyNumberFormat="1" applyFont="1" applyAlignment="1">
      <alignment vertical="top" wrapText="1"/>
    </xf>
    <xf numFmtId="164" fontId="2" fillId="0" borderId="0" xfId="0" applyNumberFormat="1" applyFont="1" applyAlignment="1">
      <alignment vertical="top" wrapText="1"/>
    </xf>
    <xf numFmtId="0" fontId="5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vertical="top" wrapText="1"/>
    </xf>
    <xf numFmtId="0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 applyAlignment="1">
      <alignment vertical="top" wrapText="1"/>
    </xf>
    <xf numFmtId="0" fontId="5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7" fillId="0" borderId="1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16" fillId="0" borderId="1" xfId="0" applyNumberFormat="1" applyFont="1" applyFill="1" applyBorder="1" applyAlignment="1">
      <alignment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right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4" fontId="17" fillId="0" borderId="1" xfId="0" applyNumberFormat="1" applyFont="1" applyFill="1" applyBorder="1" applyAlignment="1">
      <alignment horizontal="right" vertical="center" wrapText="1"/>
    </xf>
    <xf numFmtId="0" fontId="17" fillId="0" borderId="1" xfId="0" applyNumberFormat="1" applyFont="1" applyFill="1" applyBorder="1" applyAlignment="1">
      <alignment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justify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right" vertical="center" wrapText="1"/>
    </xf>
    <xf numFmtId="0" fontId="14" fillId="0" borderId="0" xfId="0" applyNumberFormat="1" applyFont="1" applyFill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13" fillId="0" borderId="1" xfId="0" applyNumberFormat="1" applyFont="1" applyFill="1" applyBorder="1" applyAlignment="1">
      <alignment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0" fontId="8" fillId="0" borderId="0" xfId="0" applyNumberFormat="1" applyFont="1" applyFill="1" applyAlignment="1">
      <alignment vertical="center" wrapText="1"/>
    </xf>
    <xf numFmtId="0" fontId="16" fillId="0" borderId="1" xfId="0" applyNumberFormat="1" applyFont="1" applyFill="1" applyBorder="1" applyAlignment="1">
      <alignment vertical="top" wrapText="1"/>
    </xf>
    <xf numFmtId="49" fontId="16" fillId="0" borderId="1" xfId="0" applyNumberFormat="1" applyFont="1" applyFill="1" applyBorder="1" applyAlignment="1">
      <alignment horizontal="center" vertical="top" wrapText="1"/>
    </xf>
    <xf numFmtId="0" fontId="16" fillId="0" borderId="1" xfId="0" applyNumberFormat="1" applyFont="1" applyFill="1" applyBorder="1" applyAlignment="1">
      <alignment horizontal="center" vertical="top" wrapText="1"/>
    </xf>
    <xf numFmtId="4" fontId="17" fillId="0" borderId="1" xfId="0" applyNumberFormat="1" applyFont="1" applyFill="1" applyBorder="1" applyAlignment="1">
      <alignment horizontal="right" vertical="top" wrapText="1"/>
    </xf>
    <xf numFmtId="0" fontId="17" fillId="0" borderId="1" xfId="0" applyNumberFormat="1" applyFont="1" applyFill="1" applyBorder="1" applyAlignment="1">
      <alignment vertical="top" wrapText="1"/>
    </xf>
    <xf numFmtId="49" fontId="17" fillId="0" borderId="1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164" fontId="1" fillId="0" borderId="0" xfId="0" applyNumberFormat="1" applyFont="1" applyFill="1" applyAlignment="1">
      <alignment vertical="top" wrapText="1"/>
    </xf>
    <xf numFmtId="49" fontId="16" fillId="0" borderId="4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left" vertical="center" wrapText="1"/>
    </xf>
    <xf numFmtId="10" fontId="5" fillId="0" borderId="1" xfId="0" applyNumberFormat="1" applyFont="1" applyFill="1" applyBorder="1" applyAlignment="1">
      <alignment horizontal="right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165" fontId="3" fillId="0" borderId="0" xfId="0" applyNumberFormat="1" applyFont="1" applyFill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51"/>
  <sheetViews>
    <sheetView tabSelected="1" topLeftCell="A322" workbookViewId="0">
      <selection activeCell="A34" sqref="A34:XFD34"/>
    </sheetView>
  </sheetViews>
  <sheetFormatPr defaultColWidth="8.140625" defaultRowHeight="12.75"/>
  <cols>
    <col min="1" max="1" width="61" style="66" customWidth="1"/>
    <col min="2" max="2" width="11" style="66" customWidth="1"/>
    <col min="3" max="3" width="4.42578125" style="66" customWidth="1"/>
    <col min="4" max="5" width="13" style="66" customWidth="1"/>
    <col min="6" max="6" width="10.42578125" style="66" customWidth="1"/>
    <col min="7" max="7" width="8.140625" customWidth="1"/>
  </cols>
  <sheetData>
    <row r="1" spans="1:8" ht="67.5" customHeight="1">
      <c r="A1" s="10"/>
      <c r="B1" s="72" t="s">
        <v>412</v>
      </c>
      <c r="C1" s="72"/>
      <c r="D1" s="72"/>
      <c r="E1" s="72"/>
      <c r="F1" s="72"/>
      <c r="G1" s="1"/>
      <c r="H1" s="1"/>
    </row>
    <row r="2" spans="1:8" ht="44.25" customHeight="1">
      <c r="A2" s="71" t="s">
        <v>0</v>
      </c>
      <c r="B2" s="71"/>
      <c r="C2" s="71"/>
      <c r="D2" s="71"/>
      <c r="E2" s="71"/>
      <c r="F2" s="71"/>
      <c r="G2" s="2"/>
      <c r="H2" s="2"/>
    </row>
    <row r="3" spans="1:8" ht="9.75" customHeight="1">
      <c r="A3" s="11"/>
      <c r="B3" s="70"/>
      <c r="C3" s="70"/>
      <c r="D3" s="70"/>
      <c r="E3" s="70"/>
      <c r="F3" s="70"/>
      <c r="G3" s="70"/>
      <c r="H3" s="70"/>
    </row>
    <row r="4" spans="1:8" ht="46.5" customHeight="1">
      <c r="A4" s="12" t="s">
        <v>1</v>
      </c>
      <c r="B4" s="12" t="s">
        <v>2</v>
      </c>
      <c r="C4" s="12" t="s">
        <v>3</v>
      </c>
      <c r="D4" s="12" t="s">
        <v>413</v>
      </c>
      <c r="E4" s="12" t="s">
        <v>414</v>
      </c>
      <c r="F4" s="12" t="s">
        <v>415</v>
      </c>
      <c r="G4" s="1"/>
      <c r="H4" s="1"/>
    </row>
    <row r="5" spans="1:8" ht="31.5">
      <c r="A5" s="13" t="s">
        <v>4</v>
      </c>
      <c r="B5" s="14" t="s">
        <v>5</v>
      </c>
      <c r="C5" s="12"/>
      <c r="D5" s="15">
        <f>D6+D79+D90+D98</f>
        <v>183563584.43000001</v>
      </c>
      <c r="E5" s="15">
        <f>E6+E79+E90+E98</f>
        <v>179426388.52000004</v>
      </c>
      <c r="F5" s="69">
        <f>E5/D5</f>
        <v>0.97746178294106234</v>
      </c>
      <c r="G5" s="1"/>
      <c r="H5" s="1"/>
    </row>
    <row r="6" spans="1:8" ht="22.5">
      <c r="A6" s="16" t="s">
        <v>6</v>
      </c>
      <c r="B6" s="17" t="s">
        <v>7</v>
      </c>
      <c r="C6" s="17"/>
      <c r="D6" s="18">
        <f>D7+D30+D65+D76</f>
        <v>178314510.63</v>
      </c>
      <c r="E6" s="18">
        <f>E7+E30+E65+E76</f>
        <v>174178560.82000002</v>
      </c>
      <c r="F6" s="69">
        <f t="shared" ref="F6:F67" si="0">E6/D6</f>
        <v>0.97680530992465331</v>
      </c>
      <c r="G6" s="1"/>
      <c r="H6" s="1"/>
    </row>
    <row r="7" spans="1:8">
      <c r="A7" s="19" t="s">
        <v>8</v>
      </c>
      <c r="B7" s="20" t="s">
        <v>9</v>
      </c>
      <c r="C7" s="20"/>
      <c r="D7" s="21">
        <f>D10+D14+D20+D24+D26+D28+D12+D16+D22+D8+D18</f>
        <v>49268538.07</v>
      </c>
      <c r="E7" s="21">
        <f>E10+E14+E20+E24+E26+E28+E12+E16+E22+E8+E18</f>
        <v>47954766.279999994</v>
      </c>
      <c r="F7" s="69">
        <f t="shared" si="0"/>
        <v>0.97333446776656085</v>
      </c>
      <c r="G7" s="1"/>
      <c r="H7" s="1"/>
    </row>
    <row r="8" spans="1:8" ht="22.5">
      <c r="A8" s="22" t="s">
        <v>353</v>
      </c>
      <c r="B8" s="23" t="s">
        <v>354</v>
      </c>
      <c r="C8" s="24"/>
      <c r="D8" s="25">
        <f>D9</f>
        <v>60000</v>
      </c>
      <c r="E8" s="25">
        <f>E9</f>
        <v>0</v>
      </c>
      <c r="F8" s="69">
        <f t="shared" si="0"/>
        <v>0</v>
      </c>
      <c r="G8" s="1"/>
      <c r="H8" s="1"/>
    </row>
    <row r="9" spans="1:8" ht="22.5">
      <c r="A9" s="22" t="s">
        <v>12</v>
      </c>
      <c r="B9" s="23" t="s">
        <v>354</v>
      </c>
      <c r="C9" s="26">
        <v>600</v>
      </c>
      <c r="D9" s="25">
        <v>60000</v>
      </c>
      <c r="E9" s="25">
        <v>0</v>
      </c>
      <c r="F9" s="69">
        <f t="shared" si="0"/>
        <v>0</v>
      </c>
      <c r="G9" s="1"/>
      <c r="H9" s="1"/>
    </row>
    <row r="10" spans="1:8" ht="56.25">
      <c r="A10" s="27" t="s">
        <v>10</v>
      </c>
      <c r="B10" s="8" t="s">
        <v>11</v>
      </c>
      <c r="C10" s="8"/>
      <c r="D10" s="9">
        <f>D11</f>
        <v>4908.07</v>
      </c>
      <c r="E10" s="9">
        <f>E11</f>
        <v>4329.3</v>
      </c>
      <c r="F10" s="69">
        <f t="shared" si="0"/>
        <v>0.88207788397476006</v>
      </c>
      <c r="G10" s="1"/>
      <c r="H10" s="1"/>
    </row>
    <row r="11" spans="1:8" ht="22.5">
      <c r="A11" s="27" t="s">
        <v>12</v>
      </c>
      <c r="B11" s="8" t="s">
        <v>11</v>
      </c>
      <c r="C11" s="8" t="s">
        <v>13</v>
      </c>
      <c r="D11" s="5">
        <f>2929.29+2019.19+515.15-555.56</f>
        <v>4908.07</v>
      </c>
      <c r="E11" s="5">
        <v>4329.3</v>
      </c>
      <c r="F11" s="69">
        <f t="shared" si="0"/>
        <v>0.88207788397476006</v>
      </c>
      <c r="G11" s="1"/>
      <c r="H11" s="1"/>
    </row>
    <row r="12" spans="1:8" ht="22.5">
      <c r="A12" s="22" t="s">
        <v>347</v>
      </c>
      <c r="B12" s="28" t="s">
        <v>350</v>
      </c>
      <c r="C12" s="8"/>
      <c r="D12" s="5">
        <f>D13</f>
        <v>31490</v>
      </c>
      <c r="E12" s="5">
        <f>E13</f>
        <v>31490</v>
      </c>
      <c r="F12" s="69">
        <f t="shared" si="0"/>
        <v>1</v>
      </c>
      <c r="G12" s="1"/>
      <c r="H12" s="1"/>
    </row>
    <row r="13" spans="1:8" ht="22.5">
      <c r="A13" s="29" t="s">
        <v>12</v>
      </c>
      <c r="B13" s="28" t="s">
        <v>350</v>
      </c>
      <c r="C13" s="4">
        <v>600</v>
      </c>
      <c r="D13" s="5">
        <v>31490</v>
      </c>
      <c r="E13" s="5">
        <v>31490</v>
      </c>
      <c r="F13" s="69">
        <f t="shared" si="0"/>
        <v>1</v>
      </c>
      <c r="G13" s="1"/>
      <c r="H13" s="1"/>
    </row>
    <row r="14" spans="1:8" ht="45">
      <c r="A14" s="27" t="s">
        <v>14</v>
      </c>
      <c r="B14" s="8" t="s">
        <v>15</v>
      </c>
      <c r="C14" s="8"/>
      <c r="D14" s="9">
        <f>D15</f>
        <v>17943500</v>
      </c>
      <c r="E14" s="9">
        <f>E15</f>
        <v>17943500</v>
      </c>
      <c r="F14" s="69">
        <f t="shared" si="0"/>
        <v>1</v>
      </c>
      <c r="G14" s="1"/>
      <c r="H14" s="1"/>
    </row>
    <row r="15" spans="1:8" ht="22.5">
      <c r="A15" s="27" t="s">
        <v>12</v>
      </c>
      <c r="B15" s="8" t="s">
        <v>15</v>
      </c>
      <c r="C15" s="4" t="s">
        <v>13</v>
      </c>
      <c r="D15" s="5">
        <f>15665500+500000+1778000</f>
        <v>17943500</v>
      </c>
      <c r="E15" s="5">
        <f>15665500+500000+1778000</f>
        <v>17943500</v>
      </c>
      <c r="F15" s="69">
        <f t="shared" si="0"/>
        <v>1</v>
      </c>
      <c r="G15" s="1"/>
      <c r="H15" s="1"/>
    </row>
    <row r="16" spans="1:8" ht="22.5">
      <c r="A16" s="29" t="s">
        <v>348</v>
      </c>
      <c r="B16" s="28" t="s">
        <v>351</v>
      </c>
      <c r="C16" s="8"/>
      <c r="D16" s="5">
        <f>D17</f>
        <v>10000</v>
      </c>
      <c r="E16" s="5">
        <f>E17</f>
        <v>10000</v>
      </c>
      <c r="F16" s="69">
        <f t="shared" si="0"/>
        <v>1</v>
      </c>
      <c r="G16" s="1"/>
      <c r="H16" s="1"/>
    </row>
    <row r="17" spans="1:8" ht="22.5">
      <c r="A17" s="29" t="s">
        <v>12</v>
      </c>
      <c r="B17" s="28" t="s">
        <v>351</v>
      </c>
      <c r="C17" s="4">
        <v>600</v>
      </c>
      <c r="D17" s="5">
        <v>10000</v>
      </c>
      <c r="E17" s="5">
        <v>10000</v>
      </c>
      <c r="F17" s="69">
        <f t="shared" si="0"/>
        <v>1</v>
      </c>
      <c r="G17" s="1"/>
      <c r="H17" s="1"/>
    </row>
    <row r="18" spans="1:8" ht="22.5">
      <c r="A18" s="22" t="s">
        <v>355</v>
      </c>
      <c r="B18" s="23" t="s">
        <v>356</v>
      </c>
      <c r="C18" s="26"/>
      <c r="D18" s="25">
        <f>D19</f>
        <v>1140000</v>
      </c>
      <c r="E18" s="25">
        <f>E19</f>
        <v>0</v>
      </c>
      <c r="F18" s="69">
        <f t="shared" si="0"/>
        <v>0</v>
      </c>
      <c r="G18" s="1"/>
      <c r="H18" s="1"/>
    </row>
    <row r="19" spans="1:8" ht="22.5">
      <c r="A19" s="22" t="s">
        <v>12</v>
      </c>
      <c r="B19" s="23" t="s">
        <v>356</v>
      </c>
      <c r="C19" s="26">
        <v>600</v>
      </c>
      <c r="D19" s="25">
        <v>1140000</v>
      </c>
      <c r="E19" s="25">
        <v>0</v>
      </c>
      <c r="F19" s="69">
        <f t="shared" si="0"/>
        <v>0</v>
      </c>
      <c r="G19" s="1"/>
      <c r="H19" s="1"/>
    </row>
    <row r="20" spans="1:8" ht="56.25">
      <c r="A20" s="27" t="s">
        <v>16</v>
      </c>
      <c r="B20" s="8" t="s">
        <v>17</v>
      </c>
      <c r="C20" s="8"/>
      <c r="D20" s="9">
        <f>D21</f>
        <v>485900</v>
      </c>
      <c r="E20" s="9">
        <f>E21</f>
        <v>428600</v>
      </c>
      <c r="F20" s="69">
        <f t="shared" si="0"/>
        <v>0.8820745009261165</v>
      </c>
      <c r="G20" s="1"/>
      <c r="H20" s="1"/>
    </row>
    <row r="21" spans="1:8" ht="22.5">
      <c r="A21" s="27" t="s">
        <v>12</v>
      </c>
      <c r="B21" s="8" t="s">
        <v>17</v>
      </c>
      <c r="C21" s="8" t="s">
        <v>13</v>
      </c>
      <c r="D21" s="5">
        <f>290000+199900+51000-55000</f>
        <v>485900</v>
      </c>
      <c r="E21" s="5">
        <v>428600</v>
      </c>
      <c r="F21" s="69">
        <f t="shared" si="0"/>
        <v>0.8820745009261165</v>
      </c>
      <c r="G21" s="1"/>
      <c r="H21" s="1"/>
    </row>
    <row r="22" spans="1:8">
      <c r="A22" s="29" t="s">
        <v>349</v>
      </c>
      <c r="B22" s="28" t="s">
        <v>352</v>
      </c>
      <c r="C22" s="8"/>
      <c r="D22" s="5">
        <f>D23</f>
        <v>490000</v>
      </c>
      <c r="E22" s="5">
        <f>E23</f>
        <v>490000</v>
      </c>
      <c r="F22" s="69">
        <f t="shared" si="0"/>
        <v>1</v>
      </c>
      <c r="G22" s="1"/>
      <c r="H22" s="1"/>
    </row>
    <row r="23" spans="1:8" ht="22.5">
      <c r="A23" s="29" t="s">
        <v>12</v>
      </c>
      <c r="B23" s="28" t="s">
        <v>352</v>
      </c>
      <c r="C23" s="4">
        <v>600</v>
      </c>
      <c r="D23" s="5">
        <v>490000</v>
      </c>
      <c r="E23" s="5">
        <v>490000</v>
      </c>
      <c r="F23" s="69">
        <f t="shared" si="0"/>
        <v>1</v>
      </c>
      <c r="G23" s="1"/>
      <c r="H23" s="1"/>
    </row>
    <row r="24" spans="1:8" ht="56.25">
      <c r="A24" s="27" t="s">
        <v>18</v>
      </c>
      <c r="B24" s="8" t="s">
        <v>19</v>
      </c>
      <c r="C24" s="8"/>
      <c r="D24" s="9">
        <f>D25</f>
        <v>26573000</v>
      </c>
      <c r="E24" s="9">
        <f>E25</f>
        <v>26573000</v>
      </c>
      <c r="F24" s="69">
        <f t="shared" si="0"/>
        <v>1</v>
      </c>
      <c r="G24" s="1"/>
      <c r="H24" s="1"/>
    </row>
    <row r="25" spans="1:8" ht="22.5">
      <c r="A25" s="27" t="s">
        <v>12</v>
      </c>
      <c r="B25" s="4" t="s">
        <v>19</v>
      </c>
      <c r="C25" s="4" t="s">
        <v>13</v>
      </c>
      <c r="D25" s="5">
        <f>27035000+1239000-851000-850000</f>
        <v>26573000</v>
      </c>
      <c r="E25" s="5">
        <f>27035000+1239000-851000-850000</f>
        <v>26573000</v>
      </c>
      <c r="F25" s="69">
        <f t="shared" si="0"/>
        <v>1</v>
      </c>
      <c r="G25" s="1"/>
      <c r="H25" s="1"/>
    </row>
    <row r="26" spans="1:8" ht="33.75">
      <c r="A26" s="27" t="s">
        <v>20</v>
      </c>
      <c r="B26" s="8" t="s">
        <v>21</v>
      </c>
      <c r="C26" s="8"/>
      <c r="D26" s="9">
        <f>D27</f>
        <v>2484000</v>
      </c>
      <c r="E26" s="9">
        <f>E27</f>
        <v>2473846.98</v>
      </c>
      <c r="F26" s="69">
        <f t="shared" si="0"/>
        <v>0.99591263285024156</v>
      </c>
      <c r="G26" s="1"/>
      <c r="H26" s="1"/>
    </row>
    <row r="27" spans="1:8">
      <c r="A27" s="27" t="s">
        <v>22</v>
      </c>
      <c r="B27" s="8" t="s">
        <v>21</v>
      </c>
      <c r="C27" s="8" t="s">
        <v>23</v>
      </c>
      <c r="D27" s="9">
        <f>2957000-51000-422000</f>
        <v>2484000</v>
      </c>
      <c r="E27" s="9">
        <v>2473846.98</v>
      </c>
      <c r="F27" s="69">
        <f t="shared" si="0"/>
        <v>0.99591263285024156</v>
      </c>
      <c r="G27" s="1"/>
      <c r="H27" s="1"/>
    </row>
    <row r="28" spans="1:8" ht="22.5">
      <c r="A28" s="27" t="s">
        <v>24</v>
      </c>
      <c r="B28" s="4" t="s">
        <v>25</v>
      </c>
      <c r="C28" s="4"/>
      <c r="D28" s="5">
        <f>D29</f>
        <v>45740</v>
      </c>
      <c r="E28" s="5">
        <f>E29</f>
        <v>0</v>
      </c>
      <c r="F28" s="69">
        <f t="shared" si="0"/>
        <v>0</v>
      </c>
      <c r="G28" s="1"/>
      <c r="H28" s="1"/>
    </row>
    <row r="29" spans="1:8" ht="22.5">
      <c r="A29" s="27" t="s">
        <v>12</v>
      </c>
      <c r="B29" s="4" t="s">
        <v>25</v>
      </c>
      <c r="C29" s="4" t="s">
        <v>13</v>
      </c>
      <c r="D29" s="9">
        <f>247000-199900-1360</f>
        <v>45740</v>
      </c>
      <c r="E29" s="9">
        <v>0</v>
      </c>
      <c r="F29" s="69">
        <f t="shared" si="0"/>
        <v>0</v>
      </c>
      <c r="G29" s="1"/>
      <c r="H29" s="1"/>
    </row>
    <row r="30" spans="1:8">
      <c r="A30" s="30" t="s">
        <v>26</v>
      </c>
      <c r="B30" s="31" t="s">
        <v>27</v>
      </c>
      <c r="C30" s="32"/>
      <c r="D30" s="33">
        <f>D31+D35+D37+D41+D45+D49+D53+D55+D57+D59+D61+D39+D47+D51+D43+D33+D63</f>
        <v>112949006.56</v>
      </c>
      <c r="E30" s="33">
        <f>E31+E35+E37+E41+E45+E49+E53+E55+E57+E59+E61+E39+E47+E51+E43+E33+E63</f>
        <v>111166884.33000001</v>
      </c>
      <c r="F30" s="69">
        <f t="shared" si="0"/>
        <v>0.9842218866347151</v>
      </c>
      <c r="G30" s="1"/>
      <c r="H30" s="1"/>
    </row>
    <row r="31" spans="1:8" ht="33.75">
      <c r="A31" s="29" t="s">
        <v>28</v>
      </c>
      <c r="B31" s="6" t="s">
        <v>29</v>
      </c>
      <c r="C31" s="4"/>
      <c r="D31" s="5">
        <f>D32</f>
        <v>719000</v>
      </c>
      <c r="E31" s="5">
        <f>E32</f>
        <v>719000</v>
      </c>
      <c r="F31" s="69">
        <f t="shared" si="0"/>
        <v>1</v>
      </c>
      <c r="G31" s="1"/>
      <c r="H31" s="1"/>
    </row>
    <row r="32" spans="1:8" ht="22.5">
      <c r="A32" s="29" t="s">
        <v>12</v>
      </c>
      <c r="B32" s="6" t="s">
        <v>29</v>
      </c>
      <c r="C32" s="4">
        <v>600</v>
      </c>
      <c r="D32" s="5">
        <v>719000</v>
      </c>
      <c r="E32" s="5">
        <v>719000</v>
      </c>
      <c r="F32" s="69">
        <f t="shared" si="0"/>
        <v>1</v>
      </c>
      <c r="G32" s="1"/>
      <c r="H32" s="1"/>
    </row>
    <row r="33" spans="1:8" ht="56.25">
      <c r="A33" s="29" t="s">
        <v>395</v>
      </c>
      <c r="B33" s="6" t="s">
        <v>396</v>
      </c>
      <c r="C33" s="4"/>
      <c r="D33" s="5">
        <f>D34</f>
        <v>9479000</v>
      </c>
      <c r="E33" s="5">
        <f>E34</f>
        <v>8392182.0199999996</v>
      </c>
      <c r="F33" s="69">
        <f t="shared" si="0"/>
        <v>0.88534465871927415</v>
      </c>
      <c r="G33" s="1"/>
      <c r="H33" s="1"/>
    </row>
    <row r="34" spans="1:8" s="66" customFormat="1" ht="22.5">
      <c r="A34" s="29" t="s">
        <v>12</v>
      </c>
      <c r="B34" s="6" t="s">
        <v>396</v>
      </c>
      <c r="C34" s="4">
        <v>600</v>
      </c>
      <c r="D34" s="5">
        <f>4922000+911400+3645600</f>
        <v>9479000</v>
      </c>
      <c r="E34" s="5">
        <v>8392182.0199999996</v>
      </c>
      <c r="F34" s="69">
        <f t="shared" si="0"/>
        <v>0.88534465871927415</v>
      </c>
      <c r="G34" s="10"/>
      <c r="H34" s="10"/>
    </row>
    <row r="35" spans="1:8" ht="33.75">
      <c r="A35" s="29" t="s">
        <v>30</v>
      </c>
      <c r="B35" s="6" t="s">
        <v>31</v>
      </c>
      <c r="C35" s="4"/>
      <c r="D35" s="5">
        <f>D36</f>
        <v>5165656.5599999996</v>
      </c>
      <c r="E35" s="5">
        <f>E36</f>
        <v>4843079.96</v>
      </c>
      <c r="F35" s="69">
        <f t="shared" si="0"/>
        <v>0.937553610803735</v>
      </c>
      <c r="G35" s="1"/>
      <c r="H35" s="1"/>
    </row>
    <row r="36" spans="1:8" ht="22.5">
      <c r="A36" s="27" t="s">
        <v>12</v>
      </c>
      <c r="B36" s="6" t="s">
        <v>31</v>
      </c>
      <c r="C36" s="4">
        <v>600</v>
      </c>
      <c r="D36" s="5">
        <f>5358000+54121.21+326000+3292.93-570000-5757.58</f>
        <v>5165656.5599999996</v>
      </c>
      <c r="E36" s="5">
        <v>4843079.96</v>
      </c>
      <c r="F36" s="69">
        <f t="shared" si="0"/>
        <v>0.937553610803735</v>
      </c>
      <c r="G36" s="1"/>
      <c r="H36" s="1"/>
    </row>
    <row r="37" spans="1:8" ht="22.5">
      <c r="A37" s="29" t="s">
        <v>32</v>
      </c>
      <c r="B37" s="4" t="s">
        <v>33</v>
      </c>
      <c r="C37" s="4"/>
      <c r="D37" s="5">
        <f>D38</f>
        <v>191391</v>
      </c>
      <c r="E37" s="5">
        <f>E38</f>
        <v>185530</v>
      </c>
      <c r="F37" s="69">
        <f t="shared" si="0"/>
        <v>0.96937682545156256</v>
      </c>
      <c r="G37" s="1"/>
      <c r="H37" s="1"/>
    </row>
    <row r="38" spans="1:8" ht="22.5">
      <c r="A38" s="27" t="s">
        <v>12</v>
      </c>
      <c r="B38" s="4" t="s">
        <v>33</v>
      </c>
      <c r="C38" s="4" t="s">
        <v>13</v>
      </c>
      <c r="D38" s="9">
        <f>213616+36900+5840+3240-63375-5600+770</f>
        <v>191391</v>
      </c>
      <c r="E38" s="9">
        <v>185530</v>
      </c>
      <c r="F38" s="69">
        <f t="shared" si="0"/>
        <v>0.96937682545156256</v>
      </c>
      <c r="G38" s="1"/>
      <c r="H38" s="1"/>
    </row>
    <row r="39" spans="1:8" ht="22.5">
      <c r="A39" s="22" t="s">
        <v>357</v>
      </c>
      <c r="B39" s="23" t="s">
        <v>358</v>
      </c>
      <c r="C39" s="26"/>
      <c r="D39" s="34">
        <f>D40</f>
        <v>294043</v>
      </c>
      <c r="E39" s="34">
        <f>E40</f>
        <v>294043</v>
      </c>
      <c r="F39" s="69">
        <f t="shared" si="0"/>
        <v>1</v>
      </c>
      <c r="G39" s="1"/>
      <c r="H39" s="1"/>
    </row>
    <row r="40" spans="1:8" ht="22.5">
      <c r="A40" s="22" t="s">
        <v>12</v>
      </c>
      <c r="B40" s="23" t="s">
        <v>358</v>
      </c>
      <c r="C40" s="26">
        <v>600</v>
      </c>
      <c r="D40" s="34">
        <v>294043</v>
      </c>
      <c r="E40" s="34">
        <v>294043</v>
      </c>
      <c r="F40" s="69">
        <f t="shared" si="0"/>
        <v>1</v>
      </c>
      <c r="G40" s="1"/>
      <c r="H40" s="1"/>
    </row>
    <row r="41" spans="1:8" ht="45">
      <c r="A41" s="29" t="s">
        <v>34</v>
      </c>
      <c r="B41" s="4" t="s">
        <v>35</v>
      </c>
      <c r="C41" s="4"/>
      <c r="D41" s="5">
        <f>D42</f>
        <v>26308500</v>
      </c>
      <c r="E41" s="5">
        <f>E42</f>
        <v>26308500</v>
      </c>
      <c r="F41" s="69">
        <f t="shared" si="0"/>
        <v>1</v>
      </c>
      <c r="G41" s="1"/>
      <c r="H41" s="1"/>
    </row>
    <row r="42" spans="1:8" ht="22.5">
      <c r="A42" s="27" t="s">
        <v>12</v>
      </c>
      <c r="B42" s="4" t="s">
        <v>35</v>
      </c>
      <c r="C42" s="4" t="s">
        <v>13</v>
      </c>
      <c r="D42" s="5">
        <f>26094500-500000+1014000-300000</f>
        <v>26308500</v>
      </c>
      <c r="E42" s="5">
        <f>26094500-500000+1014000-300000</f>
        <v>26308500</v>
      </c>
      <c r="F42" s="69">
        <f t="shared" si="0"/>
        <v>1</v>
      </c>
      <c r="G42" s="1"/>
      <c r="H42" s="1"/>
    </row>
    <row r="43" spans="1:8" ht="33.75">
      <c r="A43" s="35" t="s">
        <v>363</v>
      </c>
      <c r="B43" s="28" t="s">
        <v>364</v>
      </c>
      <c r="C43" s="26"/>
      <c r="D43" s="34">
        <f>D44</f>
        <v>6824266</v>
      </c>
      <c r="E43" s="34">
        <f>E44</f>
        <v>6807511.5899999999</v>
      </c>
      <c r="F43" s="69">
        <f t="shared" si="0"/>
        <v>0.9975448773538429</v>
      </c>
      <c r="G43" s="1"/>
      <c r="H43" s="1"/>
    </row>
    <row r="44" spans="1:8" ht="22.5">
      <c r="A44" s="22" t="s">
        <v>92</v>
      </c>
      <c r="B44" s="28" t="s">
        <v>364</v>
      </c>
      <c r="C44" s="26">
        <v>200</v>
      </c>
      <c r="D44" s="34">
        <f>6780000+44266</f>
        <v>6824266</v>
      </c>
      <c r="E44" s="34">
        <v>6807511.5899999999</v>
      </c>
      <c r="F44" s="69">
        <f t="shared" si="0"/>
        <v>0.9975448773538429</v>
      </c>
      <c r="G44" s="1"/>
      <c r="H44" s="1"/>
    </row>
    <row r="45" spans="1:8" ht="33.75">
      <c r="A45" s="27" t="s">
        <v>36</v>
      </c>
      <c r="B45" s="7" t="s">
        <v>37</v>
      </c>
      <c r="C45" s="8"/>
      <c r="D45" s="9">
        <f>D46</f>
        <v>157170</v>
      </c>
      <c r="E45" s="9">
        <f>E46</f>
        <v>116895</v>
      </c>
      <c r="F45" s="69">
        <f t="shared" si="0"/>
        <v>0.74374880702424129</v>
      </c>
      <c r="G45" s="1"/>
      <c r="H45" s="1"/>
    </row>
    <row r="46" spans="1:8" ht="22.5">
      <c r="A46" s="29" t="s">
        <v>12</v>
      </c>
      <c r="B46" s="7" t="s">
        <v>37</v>
      </c>
      <c r="C46" s="8">
        <v>600</v>
      </c>
      <c r="D46" s="9">
        <f>78585+15210+63375</f>
        <v>157170</v>
      </c>
      <c r="E46" s="9">
        <v>116895</v>
      </c>
      <c r="F46" s="69">
        <f t="shared" si="0"/>
        <v>0.74374880702424129</v>
      </c>
      <c r="G46" s="1"/>
      <c r="H46" s="1"/>
    </row>
    <row r="47" spans="1:8" ht="22.5">
      <c r="A47" s="22" t="s">
        <v>359</v>
      </c>
      <c r="B47" s="23" t="s">
        <v>360</v>
      </c>
      <c r="C47" s="36"/>
      <c r="D47" s="34">
        <f>D48</f>
        <v>10000</v>
      </c>
      <c r="E47" s="34">
        <f>E48</f>
        <v>10000</v>
      </c>
      <c r="F47" s="69">
        <f t="shared" si="0"/>
        <v>1</v>
      </c>
      <c r="G47" s="1"/>
      <c r="H47" s="1"/>
    </row>
    <row r="48" spans="1:8" ht="22.5">
      <c r="A48" s="22" t="s">
        <v>12</v>
      </c>
      <c r="B48" s="23" t="s">
        <v>360</v>
      </c>
      <c r="C48" s="36">
        <v>600</v>
      </c>
      <c r="D48" s="34">
        <v>10000</v>
      </c>
      <c r="E48" s="34">
        <v>10000</v>
      </c>
      <c r="F48" s="69">
        <f t="shared" si="0"/>
        <v>1</v>
      </c>
      <c r="G48" s="1"/>
      <c r="H48" s="1"/>
    </row>
    <row r="49" spans="1:11" ht="22.5">
      <c r="A49" s="29" t="s">
        <v>38</v>
      </c>
      <c r="B49" s="4" t="s">
        <v>39</v>
      </c>
      <c r="C49" s="4"/>
      <c r="D49" s="5">
        <f>D50</f>
        <v>2197500</v>
      </c>
      <c r="E49" s="5">
        <f>E50</f>
        <v>2017967.5</v>
      </c>
      <c r="F49" s="69">
        <f t="shared" si="0"/>
        <v>0.91830147895335612</v>
      </c>
      <c r="G49" s="1"/>
      <c r="H49" s="1"/>
      <c r="K49" s="3"/>
    </row>
    <row r="50" spans="1:11" ht="22.5">
      <c r="A50" s="27" t="s">
        <v>12</v>
      </c>
      <c r="B50" s="4" t="s">
        <v>39</v>
      </c>
      <c r="C50" s="4" t="s">
        <v>13</v>
      </c>
      <c r="D50" s="5">
        <f>1862000+123000+292000+162000-280000+38500</f>
        <v>2197500</v>
      </c>
      <c r="E50" s="5">
        <v>2017967.5</v>
      </c>
      <c r="F50" s="69">
        <f t="shared" si="0"/>
        <v>0.91830147895335612</v>
      </c>
      <c r="G50" s="1"/>
      <c r="H50" s="1"/>
    </row>
    <row r="51" spans="1:11" ht="22.5">
      <c r="A51" s="22" t="s">
        <v>361</v>
      </c>
      <c r="B51" s="23" t="s">
        <v>362</v>
      </c>
      <c r="C51" s="26"/>
      <c r="D51" s="25">
        <f>D52</f>
        <v>490000</v>
      </c>
      <c r="E51" s="25">
        <f>E52</f>
        <v>490000</v>
      </c>
      <c r="F51" s="69">
        <f t="shared" si="0"/>
        <v>1</v>
      </c>
      <c r="G51" s="1"/>
      <c r="H51" s="1"/>
    </row>
    <row r="52" spans="1:11" ht="22.5">
      <c r="A52" s="22" t="s">
        <v>12</v>
      </c>
      <c r="B52" s="23" t="s">
        <v>362</v>
      </c>
      <c r="C52" s="26">
        <v>600</v>
      </c>
      <c r="D52" s="25">
        <v>490000</v>
      </c>
      <c r="E52" s="25">
        <v>490000</v>
      </c>
      <c r="F52" s="69">
        <f t="shared" si="0"/>
        <v>1</v>
      </c>
      <c r="G52" s="1"/>
      <c r="H52" s="1"/>
    </row>
    <row r="53" spans="1:11" ht="46.5" customHeight="1">
      <c r="A53" s="27" t="s">
        <v>18</v>
      </c>
      <c r="B53" s="7" t="s">
        <v>40</v>
      </c>
      <c r="C53" s="8"/>
      <c r="D53" s="9">
        <f>D54</f>
        <v>59401000</v>
      </c>
      <c r="E53" s="9">
        <f>E54</f>
        <v>59401000</v>
      </c>
      <c r="F53" s="69">
        <f t="shared" si="0"/>
        <v>1</v>
      </c>
      <c r="G53" s="1"/>
      <c r="H53" s="1"/>
    </row>
    <row r="54" spans="1:11" ht="22.5">
      <c r="A54" s="27" t="s">
        <v>12</v>
      </c>
      <c r="B54" s="7" t="s">
        <v>40</v>
      </c>
      <c r="C54" s="4" t="s">
        <v>13</v>
      </c>
      <c r="D54" s="5">
        <f>55059000+2245000+2897000-800000</f>
        <v>59401000</v>
      </c>
      <c r="E54" s="5">
        <f>55059000+2245000+2897000-800000</f>
        <v>59401000</v>
      </c>
      <c r="F54" s="69">
        <f t="shared" si="0"/>
        <v>1</v>
      </c>
      <c r="G54" s="1"/>
      <c r="H54" s="1"/>
    </row>
    <row r="55" spans="1:11" ht="33.75">
      <c r="A55" s="27" t="s">
        <v>41</v>
      </c>
      <c r="B55" s="8" t="s">
        <v>42</v>
      </c>
      <c r="C55" s="8"/>
      <c r="D55" s="9">
        <f>D56</f>
        <v>585000</v>
      </c>
      <c r="E55" s="9">
        <f>E56</f>
        <v>585000</v>
      </c>
      <c r="F55" s="69">
        <f t="shared" si="0"/>
        <v>1</v>
      </c>
      <c r="G55" s="1"/>
      <c r="H55" s="1"/>
    </row>
    <row r="56" spans="1:11" ht="22.5">
      <c r="A56" s="27" t="s">
        <v>12</v>
      </c>
      <c r="B56" s="8" t="s">
        <v>42</v>
      </c>
      <c r="C56" s="8" t="s">
        <v>13</v>
      </c>
      <c r="D56" s="9">
        <f>685000-100000</f>
        <v>585000</v>
      </c>
      <c r="E56" s="9">
        <f>685000-100000</f>
        <v>585000</v>
      </c>
      <c r="F56" s="69">
        <f t="shared" si="0"/>
        <v>1</v>
      </c>
      <c r="G56" s="1"/>
      <c r="H56" s="1"/>
    </row>
    <row r="57" spans="1:11" ht="33.75">
      <c r="A57" s="27" t="s">
        <v>43</v>
      </c>
      <c r="B57" s="8" t="s">
        <v>44</v>
      </c>
      <c r="C57" s="8"/>
      <c r="D57" s="9">
        <f>D58</f>
        <v>69360</v>
      </c>
      <c r="E57" s="9">
        <f>E58</f>
        <v>69360</v>
      </c>
      <c r="F57" s="69">
        <f t="shared" si="0"/>
        <v>1</v>
      </c>
      <c r="G57" s="1"/>
      <c r="H57" s="1"/>
    </row>
    <row r="58" spans="1:11" ht="22.5">
      <c r="A58" s="27" t="s">
        <v>12</v>
      </c>
      <c r="B58" s="8" t="s">
        <v>44</v>
      </c>
      <c r="C58" s="8" t="s">
        <v>13</v>
      </c>
      <c r="D58" s="9">
        <f>65000+3000+1360</f>
        <v>69360</v>
      </c>
      <c r="E58" s="9">
        <f>65000+3000+1360</f>
        <v>69360</v>
      </c>
      <c r="F58" s="69">
        <f t="shared" si="0"/>
        <v>1</v>
      </c>
      <c r="G58" s="1"/>
      <c r="H58" s="1"/>
    </row>
    <row r="59" spans="1:11" ht="45">
      <c r="A59" s="27" t="s">
        <v>45</v>
      </c>
      <c r="B59" s="8" t="s">
        <v>46</v>
      </c>
      <c r="C59" s="8"/>
      <c r="D59" s="9">
        <f>D60</f>
        <v>400000</v>
      </c>
      <c r="E59" s="9">
        <f>E60</f>
        <v>320000</v>
      </c>
      <c r="F59" s="69">
        <f t="shared" si="0"/>
        <v>0.8</v>
      </c>
      <c r="G59" s="1"/>
      <c r="H59" s="1"/>
    </row>
    <row r="60" spans="1:11" ht="22.5">
      <c r="A60" s="27" t="s">
        <v>12</v>
      </c>
      <c r="B60" s="8" t="s">
        <v>46</v>
      </c>
      <c r="C60" s="8" t="s">
        <v>13</v>
      </c>
      <c r="D60" s="5">
        <v>400000</v>
      </c>
      <c r="E60" s="5">
        <v>320000</v>
      </c>
      <c r="F60" s="69">
        <f t="shared" si="0"/>
        <v>0.8</v>
      </c>
      <c r="G60" s="1"/>
      <c r="H60" s="1"/>
    </row>
    <row r="61" spans="1:11" ht="33.75">
      <c r="A61" s="29" t="s">
        <v>47</v>
      </c>
      <c r="B61" s="6" t="s">
        <v>48</v>
      </c>
      <c r="C61" s="37"/>
      <c r="D61" s="5">
        <f>D62</f>
        <v>579000</v>
      </c>
      <c r="E61" s="5">
        <f>E62</f>
        <v>538925.26</v>
      </c>
      <c r="F61" s="69">
        <f t="shared" si="0"/>
        <v>0.930786286701209</v>
      </c>
      <c r="G61" s="1"/>
      <c r="H61" s="1"/>
    </row>
    <row r="62" spans="1:11" ht="22.5">
      <c r="A62" s="27" t="s">
        <v>12</v>
      </c>
      <c r="B62" s="6" t="s">
        <v>48</v>
      </c>
      <c r="C62" s="4" t="s">
        <v>13</v>
      </c>
      <c r="D62" s="5">
        <v>579000</v>
      </c>
      <c r="E62" s="5">
        <v>538925.26</v>
      </c>
      <c r="F62" s="69">
        <f t="shared" si="0"/>
        <v>0.930786286701209</v>
      </c>
      <c r="G62" s="1"/>
      <c r="H62" s="1"/>
    </row>
    <row r="63" spans="1:11" ht="56.25">
      <c r="A63" s="29" t="s">
        <v>406</v>
      </c>
      <c r="B63" s="6" t="s">
        <v>407</v>
      </c>
      <c r="C63" s="4"/>
      <c r="D63" s="5">
        <f>D64</f>
        <v>78120</v>
      </c>
      <c r="E63" s="5">
        <f>E64</f>
        <v>67890</v>
      </c>
      <c r="F63" s="69">
        <f t="shared" si="0"/>
        <v>0.86904761904761907</v>
      </c>
      <c r="G63" s="1"/>
      <c r="H63" s="1"/>
    </row>
    <row r="64" spans="1:11" ht="22.5">
      <c r="A64" s="29" t="s">
        <v>12</v>
      </c>
      <c r="B64" s="6" t="s">
        <v>407</v>
      </c>
      <c r="C64" s="4">
        <v>600</v>
      </c>
      <c r="D64" s="5">
        <v>78120</v>
      </c>
      <c r="E64" s="5">
        <v>67890</v>
      </c>
      <c r="F64" s="69">
        <f t="shared" si="0"/>
        <v>0.86904761904761907</v>
      </c>
      <c r="G64" s="1"/>
      <c r="H64" s="1"/>
    </row>
    <row r="65" spans="1:8">
      <c r="A65" s="19" t="s">
        <v>49</v>
      </c>
      <c r="B65" s="20" t="s">
        <v>50</v>
      </c>
      <c r="C65" s="20"/>
      <c r="D65" s="21">
        <f>D66+D68+D70+D72+D74</f>
        <v>16066966</v>
      </c>
      <c r="E65" s="21">
        <f>E66+E68+E70+E72+E74</f>
        <v>15027930.210000001</v>
      </c>
      <c r="F65" s="69">
        <f t="shared" si="0"/>
        <v>0.93533092744454682</v>
      </c>
      <c r="G65" s="1"/>
      <c r="H65" s="1"/>
    </row>
    <row r="66" spans="1:8" ht="45">
      <c r="A66" s="27" t="s">
        <v>51</v>
      </c>
      <c r="B66" s="8" t="s">
        <v>52</v>
      </c>
      <c r="C66" s="8"/>
      <c r="D66" s="9">
        <f>D67</f>
        <v>11473116</v>
      </c>
      <c r="E66" s="9">
        <f>E67</f>
        <v>11473116</v>
      </c>
      <c r="F66" s="69">
        <f t="shared" si="0"/>
        <v>1</v>
      </c>
      <c r="G66" s="1"/>
      <c r="H66" s="1"/>
    </row>
    <row r="67" spans="1:8" ht="22.5">
      <c r="A67" s="27" t="s">
        <v>12</v>
      </c>
      <c r="B67" s="8" t="s">
        <v>52</v>
      </c>
      <c r="C67" s="4" t="s">
        <v>13</v>
      </c>
      <c r="D67" s="5">
        <f>9300116+231000+804000-227280+1295280+70000</f>
        <v>11473116</v>
      </c>
      <c r="E67" s="5">
        <f>9300116+231000+804000-227280+1295280+70000</f>
        <v>11473116</v>
      </c>
      <c r="F67" s="69">
        <f t="shared" si="0"/>
        <v>1</v>
      </c>
      <c r="G67" s="1"/>
      <c r="H67" s="1"/>
    </row>
    <row r="68" spans="1:8" ht="56.25">
      <c r="A68" s="27" t="s">
        <v>18</v>
      </c>
      <c r="B68" s="8" t="s">
        <v>53</v>
      </c>
      <c r="C68" s="8"/>
      <c r="D68" s="9">
        <f>D69</f>
        <v>1212760</v>
      </c>
      <c r="E68" s="9">
        <f>E69</f>
        <v>1212760</v>
      </c>
      <c r="F68" s="69">
        <f t="shared" ref="F68:F125" si="1">E68/D68</f>
        <v>1</v>
      </c>
      <c r="G68" s="1"/>
      <c r="H68" s="1"/>
    </row>
    <row r="69" spans="1:8" ht="22.5">
      <c r="A69" s="27" t="s">
        <v>12</v>
      </c>
      <c r="B69" s="7" t="s">
        <v>53</v>
      </c>
      <c r="C69" s="8" t="s">
        <v>13</v>
      </c>
      <c r="D69" s="5">
        <f>1776000-696000+132760</f>
        <v>1212760</v>
      </c>
      <c r="E69" s="5">
        <f>1776000-696000+132760</f>
        <v>1212760</v>
      </c>
      <c r="F69" s="69">
        <f t="shared" si="1"/>
        <v>1</v>
      </c>
      <c r="G69" s="1"/>
      <c r="H69" s="1"/>
    </row>
    <row r="70" spans="1:8">
      <c r="A70" s="29" t="s">
        <v>54</v>
      </c>
      <c r="B70" s="6" t="s">
        <v>55</v>
      </c>
      <c r="C70" s="4"/>
      <c r="D70" s="5">
        <f>D71</f>
        <v>2906981</v>
      </c>
      <c r="E70" s="5">
        <f>E71</f>
        <v>2013642</v>
      </c>
      <c r="F70" s="69">
        <f t="shared" si="1"/>
        <v>0.69269183389915512</v>
      </c>
      <c r="G70" s="1"/>
      <c r="H70" s="1"/>
    </row>
    <row r="71" spans="1:8" ht="22.5">
      <c r="A71" s="29" t="s">
        <v>12</v>
      </c>
      <c r="B71" s="6" t="s">
        <v>55</v>
      </c>
      <c r="C71" s="4">
        <v>600</v>
      </c>
      <c r="D71" s="5">
        <v>2906981</v>
      </c>
      <c r="E71" s="5">
        <v>2013642</v>
      </c>
      <c r="F71" s="69">
        <f t="shared" si="1"/>
        <v>0.69269183389915512</v>
      </c>
      <c r="G71" s="1"/>
      <c r="H71" s="1"/>
    </row>
    <row r="72" spans="1:8" ht="22.5">
      <c r="A72" s="29" t="s">
        <v>56</v>
      </c>
      <c r="B72" s="6" t="s">
        <v>57</v>
      </c>
      <c r="C72" s="4"/>
      <c r="D72" s="5">
        <f>D73</f>
        <v>338109</v>
      </c>
      <c r="E72" s="5">
        <f>E73</f>
        <v>234205.89</v>
      </c>
      <c r="F72" s="69">
        <f t="shared" si="1"/>
        <v>0.69269345092854673</v>
      </c>
      <c r="G72" s="1"/>
      <c r="H72" s="1"/>
    </row>
    <row r="73" spans="1:8" ht="22.5">
      <c r="A73" s="29" t="s">
        <v>12</v>
      </c>
      <c r="B73" s="6" t="s">
        <v>57</v>
      </c>
      <c r="C73" s="4">
        <v>600</v>
      </c>
      <c r="D73" s="5">
        <v>338109</v>
      </c>
      <c r="E73" s="5">
        <v>234205.89</v>
      </c>
      <c r="F73" s="69">
        <f t="shared" si="1"/>
        <v>0.69269345092854673</v>
      </c>
      <c r="G73" s="1"/>
      <c r="H73" s="1"/>
    </row>
    <row r="74" spans="1:8" ht="22.5">
      <c r="A74" s="29" t="s">
        <v>58</v>
      </c>
      <c r="B74" s="6" t="s">
        <v>59</v>
      </c>
      <c r="C74" s="4"/>
      <c r="D74" s="5">
        <f>D75</f>
        <v>136000</v>
      </c>
      <c r="E74" s="5">
        <f>E75</f>
        <v>94206.32</v>
      </c>
      <c r="F74" s="69">
        <f t="shared" si="1"/>
        <v>0.69269352941176476</v>
      </c>
      <c r="G74" s="1"/>
      <c r="H74" s="1"/>
    </row>
    <row r="75" spans="1:8" ht="22.5">
      <c r="A75" s="29" t="s">
        <v>12</v>
      </c>
      <c r="B75" s="6" t="s">
        <v>59</v>
      </c>
      <c r="C75" s="4">
        <v>600</v>
      </c>
      <c r="D75" s="5">
        <v>136000</v>
      </c>
      <c r="E75" s="5">
        <v>94206.32</v>
      </c>
      <c r="F75" s="69">
        <f t="shared" si="1"/>
        <v>0.69269352941176476</v>
      </c>
      <c r="G75" s="1"/>
      <c r="H75" s="1"/>
    </row>
    <row r="76" spans="1:8" ht="22.5">
      <c r="A76" s="19" t="s">
        <v>60</v>
      </c>
      <c r="B76" s="20" t="s">
        <v>61</v>
      </c>
      <c r="C76" s="20"/>
      <c r="D76" s="21">
        <f>D77</f>
        <v>30000</v>
      </c>
      <c r="E76" s="21">
        <f>E77</f>
        <v>28980</v>
      </c>
      <c r="F76" s="69">
        <f t="shared" si="1"/>
        <v>0.96599999999999997</v>
      </c>
      <c r="G76" s="1"/>
      <c r="H76" s="1"/>
    </row>
    <row r="77" spans="1:8">
      <c r="A77" s="27" t="s">
        <v>62</v>
      </c>
      <c r="B77" s="8" t="s">
        <v>63</v>
      </c>
      <c r="C77" s="8"/>
      <c r="D77" s="9">
        <f>D78</f>
        <v>30000</v>
      </c>
      <c r="E77" s="9">
        <f>E78</f>
        <v>28980</v>
      </c>
      <c r="F77" s="69">
        <f t="shared" si="1"/>
        <v>0.96599999999999997</v>
      </c>
      <c r="G77" s="1"/>
      <c r="H77" s="1"/>
    </row>
    <row r="78" spans="1:8" ht="22.5">
      <c r="A78" s="27" t="s">
        <v>12</v>
      </c>
      <c r="B78" s="4" t="s">
        <v>63</v>
      </c>
      <c r="C78" s="4">
        <v>600</v>
      </c>
      <c r="D78" s="5">
        <v>30000</v>
      </c>
      <c r="E78" s="5">
        <v>28980</v>
      </c>
      <c r="F78" s="69">
        <f t="shared" si="1"/>
        <v>0.96599999999999997</v>
      </c>
      <c r="G78" s="1"/>
      <c r="H78" s="1"/>
    </row>
    <row r="79" spans="1:8">
      <c r="A79" s="16" t="s">
        <v>64</v>
      </c>
      <c r="B79" s="17" t="s">
        <v>65</v>
      </c>
      <c r="C79" s="17"/>
      <c r="D79" s="18">
        <f>D80+D83</f>
        <v>160000</v>
      </c>
      <c r="E79" s="18">
        <f>E80+E83</f>
        <v>158753.90000000002</v>
      </c>
      <c r="F79" s="69">
        <f t="shared" si="1"/>
        <v>0.99221187500000019</v>
      </c>
      <c r="G79" s="1"/>
      <c r="H79" s="1"/>
    </row>
    <row r="80" spans="1:8">
      <c r="A80" s="19" t="s">
        <v>66</v>
      </c>
      <c r="B80" s="20" t="s">
        <v>67</v>
      </c>
      <c r="C80" s="20"/>
      <c r="D80" s="21">
        <f>D81</f>
        <v>30000</v>
      </c>
      <c r="E80" s="21">
        <f>E81</f>
        <v>30000</v>
      </c>
      <c r="F80" s="69">
        <f t="shared" si="1"/>
        <v>1</v>
      </c>
      <c r="G80" s="1"/>
      <c r="H80" s="1"/>
    </row>
    <row r="81" spans="1:8">
      <c r="A81" s="27" t="s">
        <v>68</v>
      </c>
      <c r="B81" s="8" t="s">
        <v>69</v>
      </c>
      <c r="C81" s="8"/>
      <c r="D81" s="9">
        <f>D82</f>
        <v>30000</v>
      </c>
      <c r="E81" s="9">
        <f>E82</f>
        <v>30000</v>
      </c>
      <c r="F81" s="69">
        <f t="shared" si="1"/>
        <v>1</v>
      </c>
      <c r="G81" s="1"/>
      <c r="H81" s="1"/>
    </row>
    <row r="82" spans="1:8" ht="22.5">
      <c r="A82" s="27" t="s">
        <v>12</v>
      </c>
      <c r="B82" s="8" t="s">
        <v>69</v>
      </c>
      <c r="C82" s="8" t="s">
        <v>13</v>
      </c>
      <c r="D82" s="9">
        <v>30000</v>
      </c>
      <c r="E82" s="9">
        <v>30000</v>
      </c>
      <c r="F82" s="69">
        <f t="shared" si="1"/>
        <v>1</v>
      </c>
      <c r="G82" s="1"/>
      <c r="H82" s="1"/>
    </row>
    <row r="83" spans="1:8">
      <c r="A83" s="19" t="s">
        <v>70</v>
      </c>
      <c r="B83" s="20" t="s">
        <v>71</v>
      </c>
      <c r="C83" s="20"/>
      <c r="D83" s="21">
        <f>D84+D88+D86</f>
        <v>130000</v>
      </c>
      <c r="E83" s="21">
        <f>E84+E88+E86</f>
        <v>128753.90000000001</v>
      </c>
      <c r="F83" s="69">
        <f t="shared" si="1"/>
        <v>0.9904146153846155</v>
      </c>
      <c r="G83" s="1"/>
      <c r="H83" s="1"/>
    </row>
    <row r="84" spans="1:8">
      <c r="A84" s="27" t="s">
        <v>72</v>
      </c>
      <c r="B84" s="8" t="s">
        <v>73</v>
      </c>
      <c r="C84" s="8"/>
      <c r="D84" s="9">
        <f>D85</f>
        <v>20000</v>
      </c>
      <c r="E84" s="9">
        <f>E85</f>
        <v>19884.990000000002</v>
      </c>
      <c r="F84" s="69">
        <f t="shared" si="1"/>
        <v>0.99424950000000012</v>
      </c>
      <c r="G84" s="1"/>
      <c r="H84" s="1"/>
    </row>
    <row r="85" spans="1:8" ht="22.5">
      <c r="A85" s="27" t="s">
        <v>12</v>
      </c>
      <c r="B85" s="8" t="s">
        <v>73</v>
      </c>
      <c r="C85" s="8" t="s">
        <v>13</v>
      </c>
      <c r="D85" s="9">
        <v>20000</v>
      </c>
      <c r="E85" s="9">
        <v>19884.990000000002</v>
      </c>
      <c r="F85" s="69">
        <f t="shared" si="1"/>
        <v>0.99424950000000012</v>
      </c>
      <c r="G85" s="1"/>
      <c r="H85" s="1"/>
    </row>
    <row r="86" spans="1:8" ht="45">
      <c r="A86" s="29" t="s">
        <v>74</v>
      </c>
      <c r="B86" s="6" t="s">
        <v>75</v>
      </c>
      <c r="C86" s="4"/>
      <c r="D86" s="5">
        <f>D87</f>
        <v>40000</v>
      </c>
      <c r="E86" s="5">
        <f>E87</f>
        <v>40000</v>
      </c>
      <c r="F86" s="69">
        <f t="shared" si="1"/>
        <v>1</v>
      </c>
      <c r="G86" s="1"/>
      <c r="H86" s="1"/>
    </row>
    <row r="87" spans="1:8">
      <c r="A87" s="29" t="s">
        <v>22</v>
      </c>
      <c r="B87" s="6" t="s">
        <v>75</v>
      </c>
      <c r="C87" s="4" t="s">
        <v>23</v>
      </c>
      <c r="D87" s="5">
        <f>70000-30000</f>
        <v>40000</v>
      </c>
      <c r="E87" s="5">
        <f>70000-30000</f>
        <v>40000</v>
      </c>
      <c r="F87" s="69">
        <f t="shared" si="1"/>
        <v>1</v>
      </c>
      <c r="G87" s="1"/>
      <c r="H87" s="1"/>
    </row>
    <row r="88" spans="1:8" ht="31.15" customHeight="1">
      <c r="A88" s="27" t="s">
        <v>76</v>
      </c>
      <c r="B88" s="8" t="s">
        <v>77</v>
      </c>
      <c r="C88" s="8"/>
      <c r="D88" s="9">
        <f>D89</f>
        <v>70000</v>
      </c>
      <c r="E88" s="9">
        <f>E89</f>
        <v>68868.91</v>
      </c>
      <c r="F88" s="69">
        <f t="shared" si="1"/>
        <v>0.98384157142857143</v>
      </c>
      <c r="G88" s="1"/>
      <c r="H88" s="1"/>
    </row>
    <row r="89" spans="1:8" ht="22.5">
      <c r="A89" s="27" t="s">
        <v>12</v>
      </c>
      <c r="B89" s="4" t="s">
        <v>77</v>
      </c>
      <c r="C89" s="4" t="s">
        <v>13</v>
      </c>
      <c r="D89" s="5">
        <v>70000</v>
      </c>
      <c r="E89" s="5">
        <v>68868.91</v>
      </c>
      <c r="F89" s="69">
        <f t="shared" si="1"/>
        <v>0.98384157142857143</v>
      </c>
      <c r="G89" s="1"/>
      <c r="H89" s="1"/>
    </row>
    <row r="90" spans="1:8" ht="22.5">
      <c r="A90" s="16" t="s">
        <v>78</v>
      </c>
      <c r="B90" s="17" t="s">
        <v>79</v>
      </c>
      <c r="C90" s="17"/>
      <c r="D90" s="18">
        <f>D91+D94</f>
        <v>2923094</v>
      </c>
      <c r="E90" s="18">
        <f>E91+E94</f>
        <v>2923094</v>
      </c>
      <c r="F90" s="69">
        <f t="shared" si="1"/>
        <v>1</v>
      </c>
      <c r="G90" s="1"/>
      <c r="H90" s="1"/>
    </row>
    <row r="91" spans="1:8" ht="22.5">
      <c r="A91" s="19" t="s">
        <v>80</v>
      </c>
      <c r="B91" s="20" t="s">
        <v>81</v>
      </c>
      <c r="C91" s="20"/>
      <c r="D91" s="21">
        <f>D92</f>
        <v>2360094</v>
      </c>
      <c r="E91" s="21">
        <f>E92</f>
        <v>2360094</v>
      </c>
      <c r="F91" s="69">
        <f t="shared" si="1"/>
        <v>1</v>
      </c>
      <c r="G91" s="1"/>
      <c r="H91" s="1"/>
    </row>
    <row r="92" spans="1:8" ht="33.75">
      <c r="A92" s="29" t="s">
        <v>82</v>
      </c>
      <c r="B92" s="4" t="s">
        <v>83</v>
      </c>
      <c r="C92" s="4"/>
      <c r="D92" s="34">
        <f>D93</f>
        <v>2360094</v>
      </c>
      <c r="E92" s="34">
        <f>E93</f>
        <v>2360094</v>
      </c>
      <c r="F92" s="69">
        <f t="shared" si="1"/>
        <v>1</v>
      </c>
      <c r="G92" s="1"/>
      <c r="H92" s="1"/>
    </row>
    <row r="93" spans="1:8">
      <c r="A93" s="29" t="s">
        <v>84</v>
      </c>
      <c r="B93" s="4" t="s">
        <v>83</v>
      </c>
      <c r="C93" s="4" t="s">
        <v>85</v>
      </c>
      <c r="D93" s="34">
        <f>1131372+1228722</f>
        <v>2360094</v>
      </c>
      <c r="E93" s="34">
        <f>1131372+1228722</f>
        <v>2360094</v>
      </c>
      <c r="F93" s="69">
        <f t="shared" si="1"/>
        <v>1</v>
      </c>
      <c r="G93" s="1"/>
      <c r="H93" s="1"/>
    </row>
    <row r="94" spans="1:8" ht="22.5">
      <c r="A94" s="19" t="s">
        <v>86</v>
      </c>
      <c r="B94" s="20" t="s">
        <v>87</v>
      </c>
      <c r="C94" s="20"/>
      <c r="D94" s="21">
        <f>D95</f>
        <v>563000</v>
      </c>
      <c r="E94" s="21">
        <f>E95</f>
        <v>563000</v>
      </c>
      <c r="F94" s="69">
        <f t="shared" si="1"/>
        <v>1</v>
      </c>
      <c r="G94" s="1"/>
      <c r="H94" s="1"/>
    </row>
    <row r="95" spans="1:8" ht="27.75" customHeight="1">
      <c r="A95" s="27" t="s">
        <v>88</v>
      </c>
      <c r="B95" s="8" t="s">
        <v>89</v>
      </c>
      <c r="C95" s="8"/>
      <c r="D95" s="9">
        <f>D96+D97</f>
        <v>563000</v>
      </c>
      <c r="E95" s="9">
        <f>E96+E97</f>
        <v>563000</v>
      </c>
      <c r="F95" s="69">
        <f t="shared" si="1"/>
        <v>1</v>
      </c>
      <c r="G95" s="1"/>
      <c r="H95" s="1"/>
    </row>
    <row r="96" spans="1:8" ht="33.75">
      <c r="A96" s="27" t="s">
        <v>90</v>
      </c>
      <c r="B96" s="8" t="s">
        <v>89</v>
      </c>
      <c r="C96" s="8" t="s">
        <v>91</v>
      </c>
      <c r="D96" s="5">
        <f>503000+49072.1</f>
        <v>552072.1</v>
      </c>
      <c r="E96" s="5">
        <f>503000+49072.1</f>
        <v>552072.1</v>
      </c>
      <c r="F96" s="69">
        <f t="shared" si="1"/>
        <v>1</v>
      </c>
      <c r="G96" s="1"/>
      <c r="H96" s="1"/>
    </row>
    <row r="97" spans="1:8" ht="22.5">
      <c r="A97" s="27" t="s">
        <v>92</v>
      </c>
      <c r="B97" s="8" t="s">
        <v>89</v>
      </c>
      <c r="C97" s="8" t="s">
        <v>93</v>
      </c>
      <c r="D97" s="5">
        <f>60000-49072.1</f>
        <v>10927.900000000001</v>
      </c>
      <c r="E97" s="5">
        <f>60000-49072.1</f>
        <v>10927.900000000001</v>
      </c>
      <c r="F97" s="69">
        <f t="shared" si="1"/>
        <v>1</v>
      </c>
      <c r="G97" s="1"/>
      <c r="H97" s="1"/>
    </row>
    <row r="98" spans="1:8" ht="22.5">
      <c r="A98" s="16" t="s">
        <v>94</v>
      </c>
      <c r="B98" s="17" t="s">
        <v>95</v>
      </c>
      <c r="C98" s="17"/>
      <c r="D98" s="18">
        <f>D99</f>
        <v>2165979.7999999998</v>
      </c>
      <c r="E98" s="18">
        <f>E99</f>
        <v>2165979.7999999998</v>
      </c>
      <c r="F98" s="69">
        <f t="shared" si="1"/>
        <v>1</v>
      </c>
      <c r="G98" s="1"/>
      <c r="H98" s="1"/>
    </row>
    <row r="99" spans="1:8">
      <c r="A99" s="19" t="s">
        <v>96</v>
      </c>
      <c r="B99" s="20" t="s">
        <v>97</v>
      </c>
      <c r="C99" s="20"/>
      <c r="D99" s="21">
        <f>D100+D102+D104+D114+D106+D108+D110+D112</f>
        <v>2165979.7999999998</v>
      </c>
      <c r="E99" s="21">
        <f>E100+E102+E104+E114+E106+E108+E110+E112</f>
        <v>2165979.7999999998</v>
      </c>
      <c r="F99" s="69">
        <f t="shared" si="1"/>
        <v>1</v>
      </c>
      <c r="G99" s="1"/>
      <c r="H99" s="1"/>
    </row>
    <row r="100" spans="1:8" ht="22.5">
      <c r="A100" s="27" t="s">
        <v>98</v>
      </c>
      <c r="B100" s="8" t="s">
        <v>99</v>
      </c>
      <c r="C100" s="8"/>
      <c r="D100" s="9">
        <f>D101</f>
        <v>1979.8</v>
      </c>
      <c r="E100" s="9">
        <f>E101</f>
        <v>1979.8</v>
      </c>
      <c r="F100" s="69">
        <f t="shared" si="1"/>
        <v>1</v>
      </c>
      <c r="G100" s="1"/>
      <c r="H100" s="1"/>
    </row>
    <row r="101" spans="1:8" ht="22.5">
      <c r="A101" s="27" t="s">
        <v>12</v>
      </c>
      <c r="B101" s="8" t="s">
        <v>99</v>
      </c>
      <c r="C101" s="8" t="s">
        <v>13</v>
      </c>
      <c r="D101" s="9">
        <v>1979.8</v>
      </c>
      <c r="E101" s="9">
        <v>1979.8</v>
      </c>
      <c r="F101" s="69">
        <f t="shared" si="1"/>
        <v>1</v>
      </c>
      <c r="G101" s="1"/>
      <c r="H101" s="1"/>
    </row>
    <row r="102" spans="1:8">
      <c r="A102" s="27" t="s">
        <v>100</v>
      </c>
      <c r="B102" s="8" t="s">
        <v>101</v>
      </c>
      <c r="C102" s="8"/>
      <c r="D102" s="9">
        <f>D103</f>
        <v>837000</v>
      </c>
      <c r="E102" s="9">
        <f>E103</f>
        <v>837000</v>
      </c>
      <c r="F102" s="69">
        <f t="shared" si="1"/>
        <v>1</v>
      </c>
      <c r="G102" s="1"/>
      <c r="H102" s="1"/>
    </row>
    <row r="103" spans="1:8" ht="22.5">
      <c r="A103" s="27" t="s">
        <v>12</v>
      </c>
      <c r="B103" s="4" t="s">
        <v>101</v>
      </c>
      <c r="C103" s="4" t="s">
        <v>13</v>
      </c>
      <c r="D103" s="5">
        <v>837000</v>
      </c>
      <c r="E103" s="5">
        <v>837000</v>
      </c>
      <c r="F103" s="69">
        <f t="shared" si="1"/>
        <v>1</v>
      </c>
      <c r="G103" s="1"/>
      <c r="H103" s="1"/>
    </row>
    <row r="104" spans="1:8" hidden="1">
      <c r="A104" s="27" t="s">
        <v>102</v>
      </c>
      <c r="B104" s="8" t="s">
        <v>103</v>
      </c>
      <c r="C104" s="8"/>
      <c r="D104" s="9">
        <f>D105</f>
        <v>0</v>
      </c>
      <c r="E104" s="9">
        <f>E105</f>
        <v>0</v>
      </c>
      <c r="F104" s="69" t="e">
        <f t="shared" si="1"/>
        <v>#DIV/0!</v>
      </c>
      <c r="G104" s="1"/>
      <c r="H104" s="1"/>
    </row>
    <row r="105" spans="1:8" ht="22.5" hidden="1">
      <c r="A105" s="27" t="s">
        <v>92</v>
      </c>
      <c r="B105" s="8" t="s">
        <v>103</v>
      </c>
      <c r="C105" s="8" t="s">
        <v>93</v>
      </c>
      <c r="D105" s="5"/>
      <c r="E105" s="5"/>
      <c r="F105" s="69" t="e">
        <f t="shared" si="1"/>
        <v>#DIV/0!</v>
      </c>
      <c r="G105" s="1"/>
      <c r="H105" s="1"/>
    </row>
    <row r="106" spans="1:8" ht="22.5">
      <c r="A106" s="29" t="s">
        <v>106</v>
      </c>
      <c r="B106" s="6" t="s">
        <v>107</v>
      </c>
      <c r="C106" s="4"/>
      <c r="D106" s="5">
        <f>D107</f>
        <v>528000</v>
      </c>
      <c r="E106" s="5">
        <f>E107</f>
        <v>528000</v>
      </c>
      <c r="F106" s="69">
        <f t="shared" si="1"/>
        <v>1</v>
      </c>
      <c r="G106" s="1"/>
      <c r="H106" s="1"/>
    </row>
    <row r="107" spans="1:8" ht="22.5">
      <c r="A107" s="29" t="s">
        <v>12</v>
      </c>
      <c r="B107" s="6" t="s">
        <v>107</v>
      </c>
      <c r="C107" s="4">
        <v>600</v>
      </c>
      <c r="D107" s="5">
        <v>528000</v>
      </c>
      <c r="E107" s="5">
        <v>528000</v>
      </c>
      <c r="F107" s="69">
        <f t="shared" si="1"/>
        <v>1</v>
      </c>
      <c r="G107" s="1"/>
      <c r="H107" s="1"/>
    </row>
    <row r="108" spans="1:8" ht="17.649999999999999" customHeight="1">
      <c r="A108" s="29" t="s">
        <v>108</v>
      </c>
      <c r="B108" s="6" t="s">
        <v>109</v>
      </c>
      <c r="C108" s="4"/>
      <c r="D108" s="5">
        <f>D109</f>
        <v>53000</v>
      </c>
      <c r="E108" s="5">
        <f>E109</f>
        <v>53000</v>
      </c>
      <c r="F108" s="69">
        <f t="shared" si="1"/>
        <v>1</v>
      </c>
      <c r="G108" s="1"/>
      <c r="H108" s="1"/>
    </row>
    <row r="109" spans="1:8" ht="15.4" customHeight="1">
      <c r="A109" s="29" t="s">
        <v>110</v>
      </c>
      <c r="B109" s="6" t="s">
        <v>109</v>
      </c>
      <c r="C109" s="4">
        <v>500</v>
      </c>
      <c r="D109" s="5">
        <v>53000</v>
      </c>
      <c r="E109" s="5">
        <v>53000</v>
      </c>
      <c r="F109" s="69">
        <f t="shared" si="1"/>
        <v>1</v>
      </c>
      <c r="G109" s="1"/>
      <c r="H109" s="1"/>
    </row>
    <row r="110" spans="1:8">
      <c r="A110" s="29" t="s">
        <v>111</v>
      </c>
      <c r="B110" s="7" t="s">
        <v>112</v>
      </c>
      <c r="C110" s="8"/>
      <c r="D110" s="9">
        <v>250000</v>
      </c>
      <c r="E110" s="9">
        <v>250000</v>
      </c>
      <c r="F110" s="69">
        <f t="shared" si="1"/>
        <v>1</v>
      </c>
      <c r="G110" s="1"/>
      <c r="H110" s="1"/>
    </row>
    <row r="111" spans="1:8" ht="22.5">
      <c r="A111" s="29" t="s">
        <v>113</v>
      </c>
      <c r="B111" s="7" t="s">
        <v>112</v>
      </c>
      <c r="C111" s="8">
        <v>600</v>
      </c>
      <c r="D111" s="9">
        <v>250000</v>
      </c>
      <c r="E111" s="9">
        <v>250000</v>
      </c>
      <c r="F111" s="69">
        <f t="shared" si="1"/>
        <v>1</v>
      </c>
      <c r="G111" s="1"/>
      <c r="H111" s="1"/>
    </row>
    <row r="112" spans="1:8">
      <c r="A112" s="29" t="s">
        <v>397</v>
      </c>
      <c r="B112" s="7" t="s">
        <v>398</v>
      </c>
      <c r="C112" s="8"/>
      <c r="D112" s="9">
        <f>D113</f>
        <v>300000</v>
      </c>
      <c r="E112" s="9">
        <f>E113</f>
        <v>300000</v>
      </c>
      <c r="F112" s="69">
        <f t="shared" si="1"/>
        <v>1</v>
      </c>
      <c r="G112" s="1"/>
      <c r="H112" s="1"/>
    </row>
    <row r="113" spans="1:8" ht="22.5">
      <c r="A113" s="27" t="s">
        <v>92</v>
      </c>
      <c r="B113" s="7" t="s">
        <v>398</v>
      </c>
      <c r="C113" s="8">
        <v>200</v>
      </c>
      <c r="D113" s="9">
        <f>340000-40000</f>
        <v>300000</v>
      </c>
      <c r="E113" s="9">
        <f>340000-40000</f>
        <v>300000</v>
      </c>
      <c r="F113" s="69">
        <f t="shared" si="1"/>
        <v>1</v>
      </c>
      <c r="G113" s="1"/>
      <c r="H113" s="1"/>
    </row>
    <row r="114" spans="1:8" ht="22.5">
      <c r="A114" s="27" t="s">
        <v>114</v>
      </c>
      <c r="B114" s="8" t="s">
        <v>115</v>
      </c>
      <c r="C114" s="8"/>
      <c r="D114" s="9">
        <f>D115</f>
        <v>196000</v>
      </c>
      <c r="E114" s="9">
        <f>E115</f>
        <v>196000</v>
      </c>
      <c r="F114" s="69">
        <f t="shared" si="1"/>
        <v>1</v>
      </c>
      <c r="G114" s="1"/>
      <c r="H114" s="1"/>
    </row>
    <row r="115" spans="1:8" ht="22.5">
      <c r="A115" s="27" t="s">
        <v>12</v>
      </c>
      <c r="B115" s="8" t="s">
        <v>115</v>
      </c>
      <c r="C115" s="8" t="s">
        <v>13</v>
      </c>
      <c r="D115" s="5">
        <v>196000</v>
      </c>
      <c r="E115" s="5">
        <v>196000</v>
      </c>
      <c r="F115" s="69">
        <f t="shared" si="1"/>
        <v>1</v>
      </c>
      <c r="G115" s="1"/>
      <c r="H115" s="1"/>
    </row>
    <row r="116" spans="1:8" ht="21">
      <c r="A116" s="13" t="s">
        <v>116</v>
      </c>
      <c r="B116" s="12" t="s">
        <v>117</v>
      </c>
      <c r="C116" s="12"/>
      <c r="D116" s="15">
        <f>D117+D148+D156</f>
        <v>34902622.849999994</v>
      </c>
      <c r="E116" s="15">
        <f>E117+E148+E156</f>
        <v>34796177.509999998</v>
      </c>
      <c r="F116" s="69">
        <f t="shared" si="1"/>
        <v>0.9969502194589368</v>
      </c>
      <c r="G116" s="1"/>
      <c r="H116" s="1"/>
    </row>
    <row r="117" spans="1:8">
      <c r="A117" s="16" t="s">
        <v>118</v>
      </c>
      <c r="B117" s="17" t="s">
        <v>119</v>
      </c>
      <c r="C117" s="17"/>
      <c r="D117" s="18">
        <f>D118+D123</f>
        <v>27474749.919999998</v>
      </c>
      <c r="E117" s="18">
        <f>E118+E123</f>
        <v>27408304.580000002</v>
      </c>
      <c r="F117" s="69">
        <f t="shared" si="1"/>
        <v>0.99758158526670959</v>
      </c>
      <c r="G117" s="1"/>
      <c r="H117" s="1"/>
    </row>
    <row r="118" spans="1:8">
      <c r="A118" s="19" t="s">
        <v>120</v>
      </c>
      <c r="B118" s="20" t="s">
        <v>121</v>
      </c>
      <c r="C118" s="20"/>
      <c r="D118" s="21">
        <f>D119+D121</f>
        <v>10254033.66</v>
      </c>
      <c r="E118" s="21">
        <f>E119+E121</f>
        <v>10254033.66</v>
      </c>
      <c r="F118" s="69">
        <f t="shared" si="1"/>
        <v>1</v>
      </c>
      <c r="G118" s="1"/>
      <c r="H118" s="1"/>
    </row>
    <row r="119" spans="1:8" ht="22.5">
      <c r="A119" s="27" t="s">
        <v>122</v>
      </c>
      <c r="B119" s="8" t="s">
        <v>123</v>
      </c>
      <c r="C119" s="8"/>
      <c r="D119" s="9">
        <f>D120</f>
        <v>10238375.26</v>
      </c>
      <c r="E119" s="9">
        <f>E120</f>
        <v>10238375.26</v>
      </c>
      <c r="F119" s="69">
        <f t="shared" si="1"/>
        <v>1</v>
      </c>
      <c r="G119" s="1"/>
      <c r="H119" s="1"/>
    </row>
    <row r="120" spans="1:8" ht="22.5">
      <c r="A120" s="27" t="s">
        <v>12</v>
      </c>
      <c r="B120" s="8" t="s">
        <v>123</v>
      </c>
      <c r="C120" s="8" t="s">
        <v>13</v>
      </c>
      <c r="D120" s="5">
        <f>9004200+680000+22500+492000+39675.26</f>
        <v>10238375.26</v>
      </c>
      <c r="E120" s="5">
        <f>9004200+680000+22500+492000+39675.26</f>
        <v>10238375.26</v>
      </c>
      <c r="F120" s="69">
        <f t="shared" si="1"/>
        <v>1</v>
      </c>
      <c r="G120" s="1"/>
      <c r="H120" s="1"/>
    </row>
    <row r="121" spans="1:8" ht="33.75">
      <c r="A121" s="27" t="s">
        <v>124</v>
      </c>
      <c r="B121" s="8" t="s">
        <v>125</v>
      </c>
      <c r="C121" s="8"/>
      <c r="D121" s="9">
        <f>D122</f>
        <v>15658.400000000001</v>
      </c>
      <c r="E121" s="9">
        <f>E122</f>
        <v>15658.400000000001</v>
      </c>
      <c r="F121" s="69">
        <f t="shared" si="1"/>
        <v>1</v>
      </c>
      <c r="G121" s="1"/>
      <c r="H121" s="1"/>
    </row>
    <row r="122" spans="1:8" ht="22.5">
      <c r="A122" s="27" t="s">
        <v>12</v>
      </c>
      <c r="B122" s="8" t="s">
        <v>125</v>
      </c>
      <c r="C122" s="8" t="s">
        <v>13</v>
      </c>
      <c r="D122" s="5">
        <f>32400-16741.6</f>
        <v>15658.400000000001</v>
      </c>
      <c r="E122" s="5">
        <f>32400-16741.6</f>
        <v>15658.400000000001</v>
      </c>
      <c r="F122" s="69">
        <f t="shared" si="1"/>
        <v>1</v>
      </c>
      <c r="G122" s="1"/>
      <c r="H122" s="1"/>
    </row>
    <row r="123" spans="1:8" ht="23.25" customHeight="1">
      <c r="A123" s="30" t="s">
        <v>126</v>
      </c>
      <c r="B123" s="32" t="s">
        <v>127</v>
      </c>
      <c r="C123" s="32"/>
      <c r="D123" s="33">
        <f>D132+D140+D124+D126+D128+D130+D134+D136+D138+D142+D144+D146</f>
        <v>17220716.259999998</v>
      </c>
      <c r="E123" s="33">
        <f>E132+E140+E124+E126+E128+E130+E134+E136+E138+E142+E144+E146</f>
        <v>17154270.920000002</v>
      </c>
      <c r="F123" s="69">
        <f t="shared" si="1"/>
        <v>0.99614154608921035</v>
      </c>
      <c r="G123" s="1"/>
      <c r="H123" s="1"/>
    </row>
    <row r="124" spans="1:8" ht="26.85" customHeight="1">
      <c r="A124" s="27" t="s">
        <v>128</v>
      </c>
      <c r="B124" s="8" t="s">
        <v>129</v>
      </c>
      <c r="C124" s="8"/>
      <c r="D124" s="9">
        <f>D125</f>
        <v>2195490.2599999998</v>
      </c>
      <c r="E124" s="9">
        <f>E125</f>
        <v>2195490.2599999998</v>
      </c>
      <c r="F124" s="69">
        <f t="shared" si="1"/>
        <v>1</v>
      </c>
      <c r="G124" s="1"/>
      <c r="H124" s="1"/>
    </row>
    <row r="125" spans="1:8" ht="25.5" customHeight="1">
      <c r="A125" s="29" t="s">
        <v>12</v>
      </c>
      <c r="B125" s="8" t="s">
        <v>129</v>
      </c>
      <c r="C125" s="8">
        <v>600</v>
      </c>
      <c r="D125" s="9">
        <v>2195490.2599999998</v>
      </c>
      <c r="E125" s="9">
        <v>2195490.2599999998</v>
      </c>
      <c r="F125" s="69">
        <f t="shared" si="1"/>
        <v>1</v>
      </c>
      <c r="G125" s="1"/>
      <c r="H125" s="1"/>
    </row>
    <row r="126" spans="1:8" ht="25.5" customHeight="1">
      <c r="A126" s="22" t="s">
        <v>365</v>
      </c>
      <c r="B126" s="36" t="s">
        <v>368</v>
      </c>
      <c r="C126" s="36"/>
      <c r="D126" s="34">
        <f>D127</f>
        <v>15680</v>
      </c>
      <c r="E126" s="34">
        <f>E127</f>
        <v>15680</v>
      </c>
      <c r="F126" s="69">
        <f t="shared" ref="F126:F182" si="2">E126/D126</f>
        <v>1</v>
      </c>
      <c r="G126" s="1"/>
      <c r="H126" s="1"/>
    </row>
    <row r="127" spans="1:8" ht="25.5" customHeight="1">
      <c r="A127" s="22" t="s">
        <v>12</v>
      </c>
      <c r="B127" s="36" t="s">
        <v>368</v>
      </c>
      <c r="C127" s="36">
        <v>600</v>
      </c>
      <c r="D127" s="34">
        <v>15680</v>
      </c>
      <c r="E127" s="34">
        <v>15680</v>
      </c>
      <c r="F127" s="69">
        <f t="shared" si="2"/>
        <v>1</v>
      </c>
      <c r="G127" s="1"/>
      <c r="H127" s="1"/>
    </row>
    <row r="128" spans="1:8" ht="25.5" customHeight="1">
      <c r="A128" s="22" t="s">
        <v>366</v>
      </c>
      <c r="B128" s="36" t="s">
        <v>369</v>
      </c>
      <c r="C128" s="36"/>
      <c r="D128" s="34">
        <f>D129</f>
        <v>20000</v>
      </c>
      <c r="E128" s="34">
        <f>E129</f>
        <v>20000</v>
      </c>
      <c r="F128" s="69">
        <f t="shared" si="2"/>
        <v>1</v>
      </c>
      <c r="G128" s="1"/>
      <c r="H128" s="1"/>
    </row>
    <row r="129" spans="1:8" ht="25.5" customHeight="1">
      <c r="A129" s="22" t="s">
        <v>12</v>
      </c>
      <c r="B129" s="36" t="s">
        <v>369</v>
      </c>
      <c r="C129" s="36">
        <v>600</v>
      </c>
      <c r="D129" s="34">
        <v>20000</v>
      </c>
      <c r="E129" s="34">
        <v>20000</v>
      </c>
      <c r="F129" s="69">
        <f t="shared" si="2"/>
        <v>1</v>
      </c>
      <c r="G129" s="1"/>
      <c r="H129" s="1"/>
    </row>
    <row r="130" spans="1:8" ht="25.5" customHeight="1">
      <c r="A130" s="22" t="s">
        <v>367</v>
      </c>
      <c r="B130" s="36" t="s">
        <v>370</v>
      </c>
      <c r="C130" s="36"/>
      <c r="D130" s="34">
        <f>D131</f>
        <v>75000</v>
      </c>
      <c r="E130" s="34">
        <f>E131</f>
        <v>75000</v>
      </c>
      <c r="F130" s="69">
        <f t="shared" si="2"/>
        <v>1</v>
      </c>
      <c r="G130" s="1"/>
      <c r="H130" s="1"/>
    </row>
    <row r="131" spans="1:8" ht="25.5" customHeight="1">
      <c r="A131" s="22" t="s">
        <v>12</v>
      </c>
      <c r="B131" s="36" t="s">
        <v>370</v>
      </c>
      <c r="C131" s="36">
        <v>600</v>
      </c>
      <c r="D131" s="34">
        <v>75000</v>
      </c>
      <c r="E131" s="34">
        <v>75000</v>
      </c>
      <c r="F131" s="69">
        <f t="shared" si="2"/>
        <v>1</v>
      </c>
      <c r="G131" s="1"/>
      <c r="H131" s="1"/>
    </row>
    <row r="132" spans="1:8" ht="33.75">
      <c r="A132" s="29" t="s">
        <v>130</v>
      </c>
      <c r="B132" s="4" t="s">
        <v>131</v>
      </c>
      <c r="C132" s="4"/>
      <c r="D132" s="5">
        <f>D133</f>
        <v>13455616</v>
      </c>
      <c r="E132" s="5">
        <v>13389616</v>
      </c>
      <c r="F132" s="69">
        <f t="shared" si="2"/>
        <v>0.99509498487471704</v>
      </c>
      <c r="G132" s="1"/>
      <c r="H132" s="1"/>
    </row>
    <row r="133" spans="1:8" ht="22.5">
      <c r="A133" s="27" t="s">
        <v>12</v>
      </c>
      <c r="B133" s="4" t="s">
        <v>131</v>
      </c>
      <c r="C133" s="4" t="s">
        <v>13</v>
      </c>
      <c r="D133" s="5">
        <f>869000+11321616+141000+681000+56000+600000+413248.91-413248.91-213000-317352.64+317352.64</f>
        <v>13455616</v>
      </c>
      <c r="E133" s="5">
        <f>869000+11321616+141000+681000+56000+600000+413248.91-413248.91-213000-317352.64+317352.64</f>
        <v>13455616</v>
      </c>
      <c r="F133" s="69">
        <f t="shared" si="2"/>
        <v>1</v>
      </c>
      <c r="G133" s="1"/>
      <c r="H133" s="1"/>
    </row>
    <row r="134" spans="1:8" ht="22.5">
      <c r="A134" s="22" t="s">
        <v>371</v>
      </c>
      <c r="B134" s="28" t="s">
        <v>374</v>
      </c>
      <c r="C134" s="36"/>
      <c r="D134" s="34">
        <f>D135</f>
        <v>10000</v>
      </c>
      <c r="E134" s="34">
        <f>E135</f>
        <v>10000</v>
      </c>
      <c r="F134" s="69">
        <f t="shared" si="2"/>
        <v>1</v>
      </c>
      <c r="G134" s="1"/>
      <c r="H134" s="1"/>
    </row>
    <row r="135" spans="1:8" ht="22.5">
      <c r="A135" s="22" t="s">
        <v>12</v>
      </c>
      <c r="B135" s="28" t="s">
        <v>374</v>
      </c>
      <c r="C135" s="36">
        <v>600</v>
      </c>
      <c r="D135" s="34">
        <v>10000</v>
      </c>
      <c r="E135" s="34">
        <v>10000</v>
      </c>
      <c r="F135" s="69">
        <f t="shared" si="2"/>
        <v>1</v>
      </c>
      <c r="G135" s="1"/>
      <c r="H135" s="1"/>
    </row>
    <row r="136" spans="1:8" ht="33.75">
      <c r="A136" s="22" t="s">
        <v>372</v>
      </c>
      <c r="B136" s="28" t="s">
        <v>375</v>
      </c>
      <c r="C136" s="36"/>
      <c r="D136" s="34">
        <f>D137</f>
        <v>9740</v>
      </c>
      <c r="E136" s="34">
        <f>E137</f>
        <v>9740</v>
      </c>
      <c r="F136" s="69">
        <f t="shared" si="2"/>
        <v>1</v>
      </c>
      <c r="G136" s="1"/>
      <c r="H136" s="1"/>
    </row>
    <row r="137" spans="1:8" ht="22.5">
      <c r="A137" s="22" t="s">
        <v>12</v>
      </c>
      <c r="B137" s="28" t="s">
        <v>375</v>
      </c>
      <c r="C137" s="36">
        <v>600</v>
      </c>
      <c r="D137" s="34">
        <v>9740</v>
      </c>
      <c r="E137" s="34">
        <v>9740</v>
      </c>
      <c r="F137" s="69">
        <f t="shared" si="2"/>
        <v>1</v>
      </c>
      <c r="G137" s="1"/>
      <c r="H137" s="1"/>
    </row>
    <row r="138" spans="1:8" ht="22.5">
      <c r="A138" s="22" t="s">
        <v>373</v>
      </c>
      <c r="B138" s="28" t="s">
        <v>376</v>
      </c>
      <c r="C138" s="36"/>
      <c r="D138" s="34">
        <f>D139</f>
        <v>17190</v>
      </c>
      <c r="E138" s="34">
        <f>E139</f>
        <v>17190</v>
      </c>
      <c r="F138" s="69">
        <f t="shared" si="2"/>
        <v>1</v>
      </c>
      <c r="G138" s="1"/>
      <c r="H138" s="1"/>
    </row>
    <row r="139" spans="1:8" ht="22.5">
      <c r="A139" s="22" t="s">
        <v>12</v>
      </c>
      <c r="B139" s="28" t="s">
        <v>376</v>
      </c>
      <c r="C139" s="36">
        <v>600</v>
      </c>
      <c r="D139" s="34">
        <v>17190</v>
      </c>
      <c r="E139" s="34">
        <v>17190</v>
      </c>
      <c r="F139" s="69">
        <f t="shared" si="2"/>
        <v>1</v>
      </c>
      <c r="G139" s="1"/>
      <c r="H139" s="1"/>
    </row>
    <row r="140" spans="1:8" ht="33.75">
      <c r="A140" s="29" t="s">
        <v>132</v>
      </c>
      <c r="B140" s="4" t="s">
        <v>133</v>
      </c>
      <c r="C140" s="4"/>
      <c r="D140" s="5">
        <f>D141</f>
        <v>12000</v>
      </c>
      <c r="E140" s="5">
        <f>E141</f>
        <v>11554.66</v>
      </c>
      <c r="F140" s="69">
        <f t="shared" si="2"/>
        <v>0.96288833333333335</v>
      </c>
      <c r="G140" s="1"/>
      <c r="H140" s="1"/>
    </row>
    <row r="141" spans="1:8" ht="22.5">
      <c r="A141" s="27" t="s">
        <v>12</v>
      </c>
      <c r="B141" s="38" t="s">
        <v>133</v>
      </c>
      <c r="C141" s="4" t="s">
        <v>13</v>
      </c>
      <c r="D141" s="5">
        <v>12000</v>
      </c>
      <c r="E141" s="5">
        <v>11554.66</v>
      </c>
      <c r="F141" s="69">
        <f t="shared" si="2"/>
        <v>0.96288833333333335</v>
      </c>
      <c r="G141" s="1"/>
      <c r="H141" s="1"/>
    </row>
    <row r="142" spans="1:8">
      <c r="A142" s="22" t="s">
        <v>377</v>
      </c>
      <c r="B142" s="28" t="s">
        <v>380</v>
      </c>
      <c r="C142" s="36"/>
      <c r="D142" s="34">
        <f>D143</f>
        <v>430000</v>
      </c>
      <c r="E142" s="34">
        <f>E143</f>
        <v>430000</v>
      </c>
      <c r="F142" s="69">
        <f t="shared" si="2"/>
        <v>1</v>
      </c>
      <c r="G142" s="1"/>
      <c r="H142" s="1"/>
    </row>
    <row r="143" spans="1:8" ht="22.5">
      <c r="A143" s="22" t="s">
        <v>12</v>
      </c>
      <c r="B143" s="28" t="s">
        <v>380</v>
      </c>
      <c r="C143" s="36">
        <v>600</v>
      </c>
      <c r="D143" s="34">
        <v>430000</v>
      </c>
      <c r="E143" s="34">
        <v>430000</v>
      </c>
      <c r="F143" s="69">
        <f t="shared" si="2"/>
        <v>1</v>
      </c>
      <c r="G143" s="1"/>
      <c r="H143" s="1"/>
    </row>
    <row r="144" spans="1:8" ht="22.5">
      <c r="A144" s="22" t="s">
        <v>378</v>
      </c>
      <c r="B144" s="28" t="s">
        <v>381</v>
      </c>
      <c r="C144" s="36"/>
      <c r="D144" s="34">
        <f>D145</f>
        <v>480000</v>
      </c>
      <c r="E144" s="34">
        <f>E145</f>
        <v>480000</v>
      </c>
      <c r="F144" s="69">
        <f t="shared" si="2"/>
        <v>1</v>
      </c>
      <c r="G144" s="1"/>
      <c r="H144" s="1"/>
    </row>
    <row r="145" spans="1:8" ht="22.5">
      <c r="A145" s="22" t="s">
        <v>12</v>
      </c>
      <c r="B145" s="28" t="s">
        <v>381</v>
      </c>
      <c r="C145" s="36">
        <v>600</v>
      </c>
      <c r="D145" s="34">
        <v>480000</v>
      </c>
      <c r="E145" s="34">
        <v>480000</v>
      </c>
      <c r="F145" s="69">
        <f t="shared" si="2"/>
        <v>1</v>
      </c>
      <c r="G145" s="1"/>
      <c r="H145" s="1"/>
    </row>
    <row r="146" spans="1:8">
      <c r="A146" s="22" t="s">
        <v>379</v>
      </c>
      <c r="B146" s="28" t="s">
        <v>382</v>
      </c>
      <c r="C146" s="36"/>
      <c r="D146" s="34">
        <f>D147</f>
        <v>500000</v>
      </c>
      <c r="E146" s="34">
        <f>E147</f>
        <v>500000</v>
      </c>
      <c r="F146" s="69">
        <f t="shared" si="2"/>
        <v>1</v>
      </c>
      <c r="G146" s="1"/>
      <c r="H146" s="1"/>
    </row>
    <row r="147" spans="1:8" ht="22.5">
      <c r="A147" s="22" t="s">
        <v>12</v>
      </c>
      <c r="B147" s="28" t="s">
        <v>382</v>
      </c>
      <c r="C147" s="36">
        <v>600</v>
      </c>
      <c r="D147" s="34">
        <v>500000</v>
      </c>
      <c r="E147" s="34">
        <v>500000</v>
      </c>
      <c r="F147" s="69">
        <f t="shared" si="2"/>
        <v>1</v>
      </c>
      <c r="G147" s="1"/>
      <c r="H147" s="1"/>
    </row>
    <row r="148" spans="1:8">
      <c r="A148" s="39" t="s">
        <v>134</v>
      </c>
      <c r="B148" s="40" t="s">
        <v>135</v>
      </c>
      <c r="C148" s="8"/>
      <c r="D148" s="18">
        <f>D149</f>
        <v>156262.63</v>
      </c>
      <c r="E148" s="18">
        <f>E149</f>
        <v>156262.63</v>
      </c>
      <c r="F148" s="69">
        <f t="shared" si="2"/>
        <v>1</v>
      </c>
      <c r="G148" s="1"/>
      <c r="H148" s="1"/>
    </row>
    <row r="149" spans="1:8" ht="22.5">
      <c r="A149" s="41" t="s">
        <v>136</v>
      </c>
      <c r="B149" s="42" t="s">
        <v>137</v>
      </c>
      <c r="C149" s="8"/>
      <c r="D149" s="21">
        <f>D150+D152+D154</f>
        <v>156262.63</v>
      </c>
      <c r="E149" s="21">
        <f>E150+E152+E154</f>
        <v>156262.63</v>
      </c>
      <c r="F149" s="69">
        <f t="shared" si="2"/>
        <v>1</v>
      </c>
      <c r="G149" s="1"/>
      <c r="H149" s="1"/>
    </row>
    <row r="150" spans="1:8">
      <c r="A150" s="27" t="s">
        <v>138</v>
      </c>
      <c r="B150" s="6" t="s">
        <v>139</v>
      </c>
      <c r="C150" s="4"/>
      <c r="D150" s="5">
        <f>D151</f>
        <v>1262.6300000000001</v>
      </c>
      <c r="E150" s="5">
        <f>E151</f>
        <v>1262.6300000000001</v>
      </c>
      <c r="F150" s="69">
        <f t="shared" si="2"/>
        <v>1</v>
      </c>
      <c r="G150" s="1"/>
      <c r="H150" s="1"/>
    </row>
    <row r="151" spans="1:8" ht="22.5">
      <c r="A151" s="29" t="s">
        <v>92</v>
      </c>
      <c r="B151" s="6" t="s">
        <v>139</v>
      </c>
      <c r="C151" s="4">
        <v>200</v>
      </c>
      <c r="D151" s="5">
        <v>1262.6300000000001</v>
      </c>
      <c r="E151" s="5">
        <v>1262.6300000000001</v>
      </c>
      <c r="F151" s="69">
        <f t="shared" si="2"/>
        <v>1</v>
      </c>
      <c r="G151" s="1"/>
      <c r="H151" s="1"/>
    </row>
    <row r="152" spans="1:8">
      <c r="A152" s="27" t="s">
        <v>140</v>
      </c>
      <c r="B152" s="8" t="s">
        <v>141</v>
      </c>
      <c r="C152" s="8"/>
      <c r="D152" s="9">
        <f>D153</f>
        <v>30000</v>
      </c>
      <c r="E152" s="9">
        <f>E153</f>
        <v>30000</v>
      </c>
      <c r="F152" s="69">
        <f t="shared" si="2"/>
        <v>1</v>
      </c>
      <c r="G152" s="1"/>
      <c r="H152" s="1"/>
    </row>
    <row r="153" spans="1:8" ht="22.5">
      <c r="A153" s="27" t="s">
        <v>12</v>
      </c>
      <c r="B153" s="8" t="s">
        <v>141</v>
      </c>
      <c r="C153" s="8" t="s">
        <v>13</v>
      </c>
      <c r="D153" s="5">
        <v>30000</v>
      </c>
      <c r="E153" s="5">
        <v>30000</v>
      </c>
      <c r="F153" s="69">
        <f t="shared" si="2"/>
        <v>1</v>
      </c>
      <c r="G153" s="1"/>
      <c r="H153" s="1"/>
    </row>
    <row r="154" spans="1:8">
      <c r="A154" s="27" t="s">
        <v>142</v>
      </c>
      <c r="B154" s="6" t="s">
        <v>143</v>
      </c>
      <c r="C154" s="4"/>
      <c r="D154" s="5">
        <f>D155</f>
        <v>125000</v>
      </c>
      <c r="E154" s="5">
        <f>E155</f>
        <v>125000</v>
      </c>
      <c r="F154" s="69">
        <f t="shared" si="2"/>
        <v>1</v>
      </c>
      <c r="G154" s="1"/>
      <c r="H154" s="1"/>
    </row>
    <row r="155" spans="1:8" ht="22.5">
      <c r="A155" s="29" t="s">
        <v>92</v>
      </c>
      <c r="B155" s="6" t="s">
        <v>143</v>
      </c>
      <c r="C155" s="4">
        <v>200</v>
      </c>
      <c r="D155" s="5">
        <v>125000</v>
      </c>
      <c r="E155" s="5">
        <v>125000</v>
      </c>
      <c r="F155" s="69">
        <f t="shared" si="2"/>
        <v>1</v>
      </c>
      <c r="G155" s="1"/>
      <c r="H155" s="1"/>
    </row>
    <row r="156" spans="1:8" ht="22.5">
      <c r="A156" s="39" t="s">
        <v>144</v>
      </c>
      <c r="B156" s="43" t="s">
        <v>145</v>
      </c>
      <c r="C156" s="17"/>
      <c r="D156" s="44">
        <f>D157</f>
        <v>7271610.2999999998</v>
      </c>
      <c r="E156" s="44">
        <f>E157</f>
        <v>7231610.2999999998</v>
      </c>
      <c r="F156" s="69">
        <f t="shared" si="2"/>
        <v>0.99449915515962128</v>
      </c>
      <c r="G156" s="1"/>
      <c r="H156" s="1"/>
    </row>
    <row r="157" spans="1:8" ht="22.5">
      <c r="A157" s="41" t="s">
        <v>146</v>
      </c>
      <c r="B157" s="42" t="s">
        <v>147</v>
      </c>
      <c r="C157" s="8"/>
      <c r="D157" s="21">
        <f>D158+D162+D160</f>
        <v>7271610.2999999998</v>
      </c>
      <c r="E157" s="21">
        <f>E158+E162+E160</f>
        <v>7231610.2999999998</v>
      </c>
      <c r="F157" s="69">
        <f t="shared" si="2"/>
        <v>0.99449915515962128</v>
      </c>
      <c r="G157" s="1"/>
      <c r="H157" s="1"/>
    </row>
    <row r="158" spans="1:8" ht="36.4" customHeight="1">
      <c r="A158" s="45" t="s">
        <v>148</v>
      </c>
      <c r="B158" s="46" t="s">
        <v>149</v>
      </c>
      <c r="C158" s="47"/>
      <c r="D158" s="9">
        <f>D159</f>
        <v>6911610.2999999998</v>
      </c>
      <c r="E158" s="9">
        <f>E159</f>
        <v>6911610.2999999998</v>
      </c>
      <c r="F158" s="69">
        <f t="shared" si="2"/>
        <v>1</v>
      </c>
      <c r="G158" s="1"/>
      <c r="H158" s="1"/>
    </row>
    <row r="159" spans="1:8" ht="22.5">
      <c r="A159" s="27" t="s">
        <v>12</v>
      </c>
      <c r="B159" s="48" t="s">
        <v>149</v>
      </c>
      <c r="C159" s="4" t="s">
        <v>13</v>
      </c>
      <c r="D159" s="9">
        <f>5758758+500000+627000+25852.3</f>
        <v>6911610.2999999998</v>
      </c>
      <c r="E159" s="9">
        <f>5758758+500000+627000+25852.3</f>
        <v>6911610.2999999998</v>
      </c>
      <c r="F159" s="69">
        <f t="shared" si="2"/>
        <v>1</v>
      </c>
      <c r="G159" s="1"/>
      <c r="H159" s="1"/>
    </row>
    <row r="160" spans="1:8" ht="22.5">
      <c r="A160" s="35" t="s">
        <v>402</v>
      </c>
      <c r="B160" s="67" t="s">
        <v>403</v>
      </c>
      <c r="C160" s="4"/>
      <c r="D160" s="9">
        <f>D161</f>
        <v>160000</v>
      </c>
      <c r="E160" s="9">
        <f>E161</f>
        <v>160000</v>
      </c>
      <c r="F160" s="69">
        <f t="shared" si="2"/>
        <v>1</v>
      </c>
      <c r="G160" s="1"/>
      <c r="H160" s="1"/>
    </row>
    <row r="161" spans="1:8" ht="22.5">
      <c r="A161" s="27" t="s">
        <v>12</v>
      </c>
      <c r="B161" s="67" t="s">
        <v>403</v>
      </c>
      <c r="C161" s="4">
        <v>600</v>
      </c>
      <c r="D161" s="9">
        <v>160000</v>
      </c>
      <c r="E161" s="9">
        <v>160000</v>
      </c>
      <c r="F161" s="69">
        <f t="shared" si="2"/>
        <v>1</v>
      </c>
      <c r="G161" s="1"/>
      <c r="H161" s="1"/>
    </row>
    <row r="162" spans="1:8" ht="45">
      <c r="A162" s="27" t="s">
        <v>45</v>
      </c>
      <c r="B162" s="7" t="s">
        <v>150</v>
      </c>
      <c r="C162" s="8"/>
      <c r="D162" s="9">
        <f>D163</f>
        <v>200000</v>
      </c>
      <c r="E162" s="9">
        <f>E163</f>
        <v>160000</v>
      </c>
      <c r="F162" s="69">
        <f t="shared" si="2"/>
        <v>0.8</v>
      </c>
      <c r="G162" s="1"/>
      <c r="H162" s="1"/>
    </row>
    <row r="163" spans="1:8" ht="22.5">
      <c r="A163" s="27" t="s">
        <v>12</v>
      </c>
      <c r="B163" s="7" t="s">
        <v>150</v>
      </c>
      <c r="C163" s="8" t="s">
        <v>13</v>
      </c>
      <c r="D163" s="5">
        <v>200000</v>
      </c>
      <c r="E163" s="5">
        <v>160000</v>
      </c>
      <c r="F163" s="69">
        <f t="shared" si="2"/>
        <v>0.8</v>
      </c>
      <c r="G163" s="1"/>
      <c r="H163" s="1"/>
    </row>
    <row r="164" spans="1:8" ht="31.5">
      <c r="A164" s="49" t="s">
        <v>151</v>
      </c>
      <c r="B164" s="12" t="s">
        <v>152</v>
      </c>
      <c r="C164" s="12"/>
      <c r="D164" s="15">
        <f>D169+D165</f>
        <v>230690.11</v>
      </c>
      <c r="E164" s="15">
        <f>E169+E165</f>
        <v>129890.11</v>
      </c>
      <c r="F164" s="69">
        <f t="shared" si="2"/>
        <v>0.56305018884424651</v>
      </c>
      <c r="G164" s="1"/>
      <c r="H164" s="1"/>
    </row>
    <row r="165" spans="1:8" ht="22.5">
      <c r="A165" s="50" t="s">
        <v>153</v>
      </c>
      <c r="B165" s="51" t="s">
        <v>154</v>
      </c>
      <c r="C165" s="52"/>
      <c r="D165" s="44">
        <f t="shared" ref="D165:E167" si="3">D166</f>
        <v>100800</v>
      </c>
      <c r="E165" s="44">
        <f t="shared" si="3"/>
        <v>0</v>
      </c>
      <c r="F165" s="69">
        <f t="shared" si="2"/>
        <v>0</v>
      </c>
      <c r="G165" s="1"/>
      <c r="H165" s="1"/>
    </row>
    <row r="166" spans="1:8" ht="22.5">
      <c r="A166" s="30" t="s">
        <v>155</v>
      </c>
      <c r="B166" s="31" t="s">
        <v>156</v>
      </c>
      <c r="C166" s="32"/>
      <c r="D166" s="33">
        <f t="shared" si="3"/>
        <v>100800</v>
      </c>
      <c r="E166" s="33">
        <f t="shared" si="3"/>
        <v>0</v>
      </c>
      <c r="F166" s="69">
        <f t="shared" si="2"/>
        <v>0</v>
      </c>
      <c r="G166" s="1"/>
      <c r="H166" s="1"/>
    </row>
    <row r="167" spans="1:8" ht="22.5">
      <c r="A167" s="29" t="s">
        <v>157</v>
      </c>
      <c r="B167" s="6" t="s">
        <v>158</v>
      </c>
      <c r="C167" s="4"/>
      <c r="D167" s="5">
        <f t="shared" si="3"/>
        <v>100800</v>
      </c>
      <c r="E167" s="5">
        <f t="shared" si="3"/>
        <v>0</v>
      </c>
      <c r="F167" s="69">
        <f t="shared" si="2"/>
        <v>0</v>
      </c>
      <c r="G167" s="1"/>
      <c r="H167" s="1"/>
    </row>
    <row r="168" spans="1:8">
      <c r="A168" s="29" t="s">
        <v>110</v>
      </c>
      <c r="B168" s="6" t="s">
        <v>158</v>
      </c>
      <c r="C168" s="4">
        <v>500</v>
      </c>
      <c r="D168" s="5">
        <f>300000-199200</f>
        <v>100800</v>
      </c>
      <c r="E168" s="5">
        <v>0</v>
      </c>
      <c r="F168" s="69">
        <f t="shared" si="2"/>
        <v>0</v>
      </c>
      <c r="G168" s="1"/>
      <c r="H168" s="1"/>
    </row>
    <row r="169" spans="1:8" ht="33.75">
      <c r="A169" s="16" t="s">
        <v>159</v>
      </c>
      <c r="B169" s="17" t="s">
        <v>160</v>
      </c>
      <c r="C169" s="8"/>
      <c r="D169" s="18">
        <f>D170</f>
        <v>129890.11</v>
      </c>
      <c r="E169" s="18">
        <f>E170</f>
        <v>129890.11</v>
      </c>
      <c r="F169" s="69">
        <f t="shared" si="2"/>
        <v>1</v>
      </c>
      <c r="G169" s="1"/>
      <c r="H169" s="1"/>
    </row>
    <row r="170" spans="1:8" ht="33.75">
      <c r="A170" s="19" t="s">
        <v>161</v>
      </c>
      <c r="B170" s="20" t="s">
        <v>162</v>
      </c>
      <c r="C170" s="8"/>
      <c r="D170" s="21">
        <f>D175+D171+D173</f>
        <v>129890.11</v>
      </c>
      <c r="E170" s="21">
        <f>E175+E171+E173</f>
        <v>129890.11</v>
      </c>
      <c r="F170" s="69">
        <f t="shared" si="2"/>
        <v>1</v>
      </c>
      <c r="G170" s="1"/>
      <c r="H170" s="1"/>
    </row>
    <row r="171" spans="1:8" ht="22.5">
      <c r="A171" s="29" t="s">
        <v>163</v>
      </c>
      <c r="B171" s="6" t="s">
        <v>164</v>
      </c>
      <c r="C171" s="4"/>
      <c r="D171" s="5">
        <f>D172</f>
        <v>9890.11</v>
      </c>
      <c r="E171" s="5">
        <f>E172</f>
        <v>9890.11</v>
      </c>
      <c r="F171" s="69">
        <f t="shared" si="2"/>
        <v>1</v>
      </c>
      <c r="G171" s="1"/>
      <c r="H171" s="1"/>
    </row>
    <row r="172" spans="1:8" ht="22.5">
      <c r="A172" s="27" t="s">
        <v>12</v>
      </c>
      <c r="B172" s="6" t="s">
        <v>164</v>
      </c>
      <c r="C172" s="4">
        <v>600</v>
      </c>
      <c r="D172" s="5">
        <v>9890.11</v>
      </c>
      <c r="E172" s="5">
        <v>9890.11</v>
      </c>
      <c r="F172" s="69">
        <f t="shared" si="2"/>
        <v>1</v>
      </c>
      <c r="G172" s="1"/>
      <c r="H172" s="1"/>
    </row>
    <row r="173" spans="1:8" ht="22.5">
      <c r="A173" s="29" t="s">
        <v>165</v>
      </c>
      <c r="B173" s="6" t="s">
        <v>166</v>
      </c>
      <c r="C173" s="4"/>
      <c r="D173" s="5">
        <f>D174</f>
        <v>20000</v>
      </c>
      <c r="E173" s="5">
        <f>E174</f>
        <v>20000</v>
      </c>
      <c r="F173" s="69">
        <f t="shared" si="2"/>
        <v>1</v>
      </c>
      <c r="G173" s="1"/>
      <c r="H173" s="1"/>
    </row>
    <row r="174" spans="1:8" ht="22.5">
      <c r="A174" s="27" t="s">
        <v>12</v>
      </c>
      <c r="B174" s="6" t="s">
        <v>166</v>
      </c>
      <c r="C174" s="4">
        <v>600</v>
      </c>
      <c r="D174" s="5">
        <v>20000</v>
      </c>
      <c r="E174" s="5">
        <v>20000</v>
      </c>
      <c r="F174" s="69">
        <f t="shared" si="2"/>
        <v>1</v>
      </c>
      <c r="G174" s="1"/>
      <c r="H174" s="1"/>
    </row>
    <row r="175" spans="1:8" ht="22.5">
      <c r="A175" s="29" t="s">
        <v>167</v>
      </c>
      <c r="B175" s="6" t="s">
        <v>168</v>
      </c>
      <c r="C175" s="32"/>
      <c r="D175" s="5">
        <f>D176</f>
        <v>100000</v>
      </c>
      <c r="E175" s="5">
        <f>E176</f>
        <v>100000</v>
      </c>
      <c r="F175" s="69">
        <f t="shared" si="2"/>
        <v>1</v>
      </c>
      <c r="G175" s="1"/>
      <c r="H175" s="1"/>
    </row>
    <row r="176" spans="1:8" ht="22.5">
      <c r="A176" s="27" t="s">
        <v>12</v>
      </c>
      <c r="B176" s="6" t="s">
        <v>168</v>
      </c>
      <c r="C176" s="4">
        <v>600</v>
      </c>
      <c r="D176" s="5">
        <v>100000</v>
      </c>
      <c r="E176" s="5">
        <v>100000</v>
      </c>
      <c r="F176" s="69">
        <f t="shared" si="2"/>
        <v>1</v>
      </c>
      <c r="G176" s="1"/>
      <c r="H176" s="1"/>
    </row>
    <row r="177" spans="1:8" ht="21">
      <c r="A177" s="13" t="s">
        <v>169</v>
      </c>
      <c r="B177" s="14" t="s">
        <v>170</v>
      </c>
      <c r="C177" s="12"/>
      <c r="D177" s="15">
        <f>D178+D209+D195</f>
        <v>4508316.3900000006</v>
      </c>
      <c r="E177" s="15">
        <f>E178+E209+E195</f>
        <v>4443948.34</v>
      </c>
      <c r="F177" s="69">
        <f t="shared" si="2"/>
        <v>0.98572237517695582</v>
      </c>
      <c r="G177" s="1"/>
      <c r="H177" s="1"/>
    </row>
    <row r="178" spans="1:8" ht="22.5">
      <c r="A178" s="16" t="s">
        <v>171</v>
      </c>
      <c r="B178" s="17" t="s">
        <v>172</v>
      </c>
      <c r="C178" s="17"/>
      <c r="D178" s="18">
        <f>D179+D187</f>
        <v>4422255.78</v>
      </c>
      <c r="E178" s="18">
        <f>E179+E187</f>
        <v>4370335.41</v>
      </c>
      <c r="F178" s="69">
        <f t="shared" si="2"/>
        <v>0.9882593019076793</v>
      </c>
      <c r="G178" s="1"/>
      <c r="H178" s="1"/>
    </row>
    <row r="179" spans="1:8">
      <c r="A179" s="19" t="s">
        <v>173</v>
      </c>
      <c r="B179" s="20" t="s">
        <v>174</v>
      </c>
      <c r="C179" s="20"/>
      <c r="D179" s="21">
        <f>D180+D182+D185</f>
        <v>1798755.78</v>
      </c>
      <c r="E179" s="21">
        <f>E180+E182+E185</f>
        <v>1789055.78</v>
      </c>
      <c r="F179" s="69">
        <f t="shared" si="2"/>
        <v>0.99460738355487033</v>
      </c>
      <c r="G179" s="1"/>
      <c r="H179" s="1"/>
    </row>
    <row r="180" spans="1:8" ht="22.5">
      <c r="A180" s="29" t="s">
        <v>175</v>
      </c>
      <c r="B180" s="6" t="s">
        <v>176</v>
      </c>
      <c r="C180" s="4"/>
      <c r="D180" s="5">
        <f>D181</f>
        <v>8052.64</v>
      </c>
      <c r="E180" s="5">
        <f>E181</f>
        <v>8052.64</v>
      </c>
      <c r="F180" s="69">
        <f t="shared" si="2"/>
        <v>1</v>
      </c>
      <c r="G180" s="1"/>
      <c r="H180" s="1"/>
    </row>
    <row r="181" spans="1:8">
      <c r="A181" s="29" t="s">
        <v>110</v>
      </c>
      <c r="B181" s="6" t="s">
        <v>176</v>
      </c>
      <c r="C181" s="4">
        <v>500</v>
      </c>
      <c r="D181" s="5">
        <v>8052.64</v>
      </c>
      <c r="E181" s="5">
        <v>8052.64</v>
      </c>
      <c r="F181" s="69">
        <f t="shared" si="2"/>
        <v>1</v>
      </c>
      <c r="G181" s="1"/>
      <c r="H181" s="1"/>
    </row>
    <row r="182" spans="1:8" ht="22.5">
      <c r="A182" s="27" t="s">
        <v>177</v>
      </c>
      <c r="B182" s="8" t="s">
        <v>178</v>
      </c>
      <c r="C182" s="8"/>
      <c r="D182" s="9">
        <f>D183+D184</f>
        <v>1637703.1400000001</v>
      </c>
      <c r="E182" s="9">
        <f>E183+E184</f>
        <v>1628003.1400000001</v>
      </c>
      <c r="F182" s="69">
        <f t="shared" si="2"/>
        <v>0.99407707064663742</v>
      </c>
      <c r="G182" s="1"/>
      <c r="H182" s="1"/>
    </row>
    <row r="183" spans="1:8" ht="22.5">
      <c r="A183" s="27" t="s">
        <v>92</v>
      </c>
      <c r="B183" s="8" t="s">
        <v>178</v>
      </c>
      <c r="C183" s="8" t="s">
        <v>93</v>
      </c>
      <c r="D183" s="5">
        <f>27000+5000</f>
        <v>32000</v>
      </c>
      <c r="E183" s="5">
        <v>22300</v>
      </c>
      <c r="F183" s="69">
        <f t="shared" ref="F183:F241" si="4">E183/D183</f>
        <v>0.69687500000000002</v>
      </c>
      <c r="G183" s="1"/>
      <c r="H183" s="1"/>
    </row>
    <row r="184" spans="1:8" ht="22.5">
      <c r="A184" s="27" t="s">
        <v>12</v>
      </c>
      <c r="B184" s="7" t="s">
        <v>178</v>
      </c>
      <c r="C184" s="8" t="s">
        <v>13</v>
      </c>
      <c r="D184" s="5">
        <f>272500+732500+75126+555784-7273.2-22933.66</f>
        <v>1605703.1400000001</v>
      </c>
      <c r="E184" s="5">
        <f>272500+732500+75126+555784-7273.2-22933.66</f>
        <v>1605703.1400000001</v>
      </c>
      <c r="F184" s="69">
        <f t="shared" si="4"/>
        <v>1</v>
      </c>
      <c r="G184" s="1"/>
      <c r="H184" s="1"/>
    </row>
    <row r="185" spans="1:8" ht="22.5">
      <c r="A185" s="29" t="s">
        <v>179</v>
      </c>
      <c r="B185" s="6" t="s">
        <v>180</v>
      </c>
      <c r="C185" s="4"/>
      <c r="D185" s="5">
        <f>D186</f>
        <v>153000</v>
      </c>
      <c r="E185" s="5">
        <f>E186</f>
        <v>153000</v>
      </c>
      <c r="F185" s="69">
        <f t="shared" si="4"/>
        <v>1</v>
      </c>
      <c r="G185" s="1"/>
      <c r="H185" s="1"/>
    </row>
    <row r="186" spans="1:8">
      <c r="A186" s="27" t="s">
        <v>110</v>
      </c>
      <c r="B186" s="6" t="s">
        <v>180</v>
      </c>
      <c r="C186" s="4">
        <v>500</v>
      </c>
      <c r="D186" s="5">
        <v>153000</v>
      </c>
      <c r="E186" s="5">
        <v>153000</v>
      </c>
      <c r="F186" s="69">
        <f t="shared" si="4"/>
        <v>1</v>
      </c>
      <c r="G186" s="1"/>
      <c r="H186" s="1"/>
    </row>
    <row r="187" spans="1:8">
      <c r="A187" s="19" t="s">
        <v>181</v>
      </c>
      <c r="B187" s="20" t="s">
        <v>182</v>
      </c>
      <c r="C187" s="20"/>
      <c r="D187" s="21">
        <f>D188+D191+D193</f>
        <v>2623500</v>
      </c>
      <c r="E187" s="21">
        <f>E188+E191+E193</f>
        <v>2581279.6300000004</v>
      </c>
      <c r="F187" s="69">
        <f t="shared" si="4"/>
        <v>0.98390685344006112</v>
      </c>
      <c r="G187" s="1"/>
      <c r="H187" s="1"/>
    </row>
    <row r="188" spans="1:8" ht="22.5">
      <c r="A188" s="27" t="s">
        <v>183</v>
      </c>
      <c r="B188" s="8" t="s">
        <v>184</v>
      </c>
      <c r="C188" s="8"/>
      <c r="D188" s="9">
        <f>D189+D190</f>
        <v>2481000</v>
      </c>
      <c r="E188" s="9">
        <f>E189+E190</f>
        <v>2445519.4300000002</v>
      </c>
      <c r="F188" s="69">
        <f t="shared" si="4"/>
        <v>0.9856990850463524</v>
      </c>
      <c r="G188" s="1"/>
      <c r="H188" s="1"/>
    </row>
    <row r="189" spans="1:8" ht="33.75">
      <c r="A189" s="27" t="s">
        <v>90</v>
      </c>
      <c r="B189" s="8" t="s">
        <v>184</v>
      </c>
      <c r="C189" s="8" t="s">
        <v>91</v>
      </c>
      <c r="D189" s="5">
        <f>2074000+331000</f>
        <v>2405000</v>
      </c>
      <c r="E189" s="5">
        <v>2403945.4300000002</v>
      </c>
      <c r="F189" s="69">
        <f t="shared" si="4"/>
        <v>0.99956150935550947</v>
      </c>
      <c r="G189" s="1"/>
      <c r="H189" s="1"/>
    </row>
    <row r="190" spans="1:8" ht="22.5">
      <c r="A190" s="27" t="s">
        <v>92</v>
      </c>
      <c r="B190" s="8" t="s">
        <v>184</v>
      </c>
      <c r="C190" s="8" t="s">
        <v>93</v>
      </c>
      <c r="D190" s="5">
        <v>76000</v>
      </c>
      <c r="E190" s="5">
        <v>41574</v>
      </c>
      <c r="F190" s="69">
        <f t="shared" si="4"/>
        <v>0.54702631578947369</v>
      </c>
      <c r="G190" s="1"/>
      <c r="H190" s="1"/>
    </row>
    <row r="191" spans="1:8">
      <c r="A191" s="27" t="s">
        <v>185</v>
      </c>
      <c r="B191" s="8" t="s">
        <v>186</v>
      </c>
      <c r="C191" s="8"/>
      <c r="D191" s="9">
        <f>D192</f>
        <v>127500</v>
      </c>
      <c r="E191" s="9">
        <f>E192</f>
        <v>127500</v>
      </c>
      <c r="F191" s="69">
        <f t="shared" si="4"/>
        <v>1</v>
      </c>
      <c r="G191" s="1"/>
      <c r="H191" s="1"/>
    </row>
    <row r="192" spans="1:8" ht="22.5">
      <c r="A192" s="27" t="s">
        <v>92</v>
      </c>
      <c r="B192" s="8" t="s">
        <v>186</v>
      </c>
      <c r="C192" s="8" t="s">
        <v>93</v>
      </c>
      <c r="D192" s="5">
        <f>244000-116500</f>
        <v>127500</v>
      </c>
      <c r="E192" s="5">
        <f>244000-116500</f>
        <v>127500</v>
      </c>
      <c r="F192" s="69">
        <f t="shared" si="4"/>
        <v>1</v>
      </c>
      <c r="G192" s="1"/>
      <c r="H192" s="1"/>
    </row>
    <row r="193" spans="1:8">
      <c r="A193" s="27" t="s">
        <v>187</v>
      </c>
      <c r="B193" s="8" t="s">
        <v>188</v>
      </c>
      <c r="C193" s="8"/>
      <c r="D193" s="9">
        <f>D194</f>
        <v>15000</v>
      </c>
      <c r="E193" s="9">
        <f>E194</f>
        <v>8260.2000000000007</v>
      </c>
      <c r="F193" s="69">
        <f t="shared" si="4"/>
        <v>0.55068000000000006</v>
      </c>
      <c r="G193" s="1"/>
      <c r="H193" s="1"/>
    </row>
    <row r="194" spans="1:8" ht="22.5">
      <c r="A194" s="27" t="s">
        <v>92</v>
      </c>
      <c r="B194" s="8" t="s">
        <v>188</v>
      </c>
      <c r="C194" s="8" t="s">
        <v>93</v>
      </c>
      <c r="D194" s="5">
        <v>15000</v>
      </c>
      <c r="E194" s="5">
        <v>8260.2000000000007</v>
      </c>
      <c r="F194" s="69">
        <f t="shared" si="4"/>
        <v>0.55068000000000006</v>
      </c>
      <c r="G194" s="1"/>
      <c r="H194" s="1"/>
    </row>
    <row r="195" spans="1:8" ht="33.75">
      <c r="A195" s="16" t="s">
        <v>189</v>
      </c>
      <c r="B195" s="43" t="s">
        <v>190</v>
      </c>
      <c r="C195" s="17"/>
      <c r="D195" s="18">
        <f>D196+D199</f>
        <v>61060.61</v>
      </c>
      <c r="E195" s="18">
        <f>E196+E199</f>
        <v>48612.93</v>
      </c>
      <c r="F195" s="69">
        <f t="shared" si="4"/>
        <v>0.79614222655161815</v>
      </c>
      <c r="G195" s="1"/>
      <c r="H195" s="1"/>
    </row>
    <row r="196" spans="1:8">
      <c r="A196" s="19" t="s">
        <v>191</v>
      </c>
      <c r="B196" s="20" t="s">
        <v>192</v>
      </c>
      <c r="C196" s="20"/>
      <c r="D196" s="21">
        <f>D197</f>
        <v>10000</v>
      </c>
      <c r="E196" s="21">
        <f>E197</f>
        <v>0</v>
      </c>
      <c r="F196" s="69">
        <f t="shared" si="4"/>
        <v>0</v>
      </c>
      <c r="G196" s="1"/>
      <c r="H196" s="1"/>
    </row>
    <row r="197" spans="1:8" ht="22.5">
      <c r="A197" s="27" t="s">
        <v>193</v>
      </c>
      <c r="B197" s="8" t="s">
        <v>194</v>
      </c>
      <c r="C197" s="8"/>
      <c r="D197" s="9">
        <f>D198</f>
        <v>10000</v>
      </c>
      <c r="E197" s="9">
        <f>E198</f>
        <v>0</v>
      </c>
      <c r="F197" s="69">
        <f t="shared" si="4"/>
        <v>0</v>
      </c>
      <c r="G197" s="1"/>
      <c r="H197" s="1"/>
    </row>
    <row r="198" spans="1:8" ht="22.5">
      <c r="A198" s="27" t="s">
        <v>92</v>
      </c>
      <c r="B198" s="7" t="s">
        <v>194</v>
      </c>
      <c r="C198" s="8" t="s">
        <v>93</v>
      </c>
      <c r="D198" s="9">
        <v>10000</v>
      </c>
      <c r="E198" s="9">
        <v>0</v>
      </c>
      <c r="F198" s="69">
        <f t="shared" si="4"/>
        <v>0</v>
      </c>
      <c r="G198" s="1"/>
      <c r="H198" s="1"/>
    </row>
    <row r="199" spans="1:8">
      <c r="A199" s="19" t="s">
        <v>195</v>
      </c>
      <c r="B199" s="53" t="s">
        <v>196</v>
      </c>
      <c r="C199" s="8"/>
      <c r="D199" s="9">
        <f>D203+D205+D200</f>
        <v>51060.61</v>
      </c>
      <c r="E199" s="9">
        <f>E203+E205+E200</f>
        <v>48612.93</v>
      </c>
      <c r="F199" s="69">
        <f t="shared" si="4"/>
        <v>0.95206324405446785</v>
      </c>
      <c r="G199" s="1"/>
      <c r="H199" s="1"/>
    </row>
    <row r="200" spans="1:8" ht="22.5">
      <c r="A200" s="22" t="s">
        <v>408</v>
      </c>
      <c r="B200" s="23" t="s">
        <v>409</v>
      </c>
      <c r="C200" s="26"/>
      <c r="D200" s="25">
        <f>D201+D202</f>
        <v>180.61</v>
      </c>
      <c r="E200" s="25">
        <f>E201+E202</f>
        <v>158</v>
      </c>
      <c r="F200" s="69">
        <f t="shared" si="4"/>
        <v>0.87481313327058297</v>
      </c>
      <c r="G200" s="1"/>
      <c r="H200" s="1"/>
    </row>
    <row r="201" spans="1:8" ht="33.75">
      <c r="A201" s="22" t="s">
        <v>90</v>
      </c>
      <c r="B201" s="23" t="s">
        <v>409</v>
      </c>
      <c r="C201" s="26">
        <v>100</v>
      </c>
      <c r="D201" s="25">
        <v>130.61000000000001</v>
      </c>
      <c r="E201" s="25">
        <v>128</v>
      </c>
      <c r="F201" s="69">
        <f t="shared" si="4"/>
        <v>0.98001684403950684</v>
      </c>
      <c r="G201" s="1"/>
      <c r="H201" s="1"/>
    </row>
    <row r="202" spans="1:8" ht="22.5">
      <c r="A202" s="22" t="s">
        <v>92</v>
      </c>
      <c r="B202" s="23" t="s">
        <v>409</v>
      </c>
      <c r="C202" s="26">
        <v>200</v>
      </c>
      <c r="D202" s="25">
        <v>50</v>
      </c>
      <c r="E202" s="25">
        <v>30</v>
      </c>
      <c r="F202" s="69">
        <f t="shared" si="4"/>
        <v>0.6</v>
      </c>
      <c r="G202" s="1"/>
      <c r="H202" s="1"/>
    </row>
    <row r="203" spans="1:8" ht="22.5">
      <c r="A203" s="27" t="s">
        <v>197</v>
      </c>
      <c r="B203" s="7" t="s">
        <v>198</v>
      </c>
      <c r="C203" s="8"/>
      <c r="D203" s="9">
        <f>D204</f>
        <v>20000</v>
      </c>
      <c r="E203" s="9">
        <f>E204</f>
        <v>20000</v>
      </c>
      <c r="F203" s="69">
        <f t="shared" si="4"/>
        <v>1</v>
      </c>
      <c r="G203" s="1"/>
      <c r="H203" s="1"/>
    </row>
    <row r="204" spans="1:8" ht="22.5">
      <c r="A204" s="27" t="s">
        <v>92</v>
      </c>
      <c r="B204" s="6" t="s">
        <v>198</v>
      </c>
      <c r="C204" s="4">
        <v>200</v>
      </c>
      <c r="D204" s="5">
        <v>20000</v>
      </c>
      <c r="E204" s="5">
        <v>20000</v>
      </c>
      <c r="F204" s="69">
        <f t="shared" si="4"/>
        <v>1</v>
      </c>
      <c r="G204" s="1"/>
      <c r="H204" s="1"/>
    </row>
    <row r="205" spans="1:8" ht="22.5">
      <c r="A205" s="29" t="s">
        <v>199</v>
      </c>
      <c r="B205" s="6" t="s">
        <v>200</v>
      </c>
      <c r="C205" s="4"/>
      <c r="D205" s="5">
        <f>D208+D206+D207</f>
        <v>30880</v>
      </c>
      <c r="E205" s="5">
        <f>E208+E206+E207</f>
        <v>28454.93</v>
      </c>
      <c r="F205" s="69">
        <f t="shared" si="4"/>
        <v>0.92146794041450775</v>
      </c>
      <c r="G205" s="1"/>
      <c r="H205" s="1"/>
    </row>
    <row r="206" spans="1:8" ht="33.75">
      <c r="A206" s="22" t="s">
        <v>90</v>
      </c>
      <c r="B206" s="23" t="s">
        <v>200</v>
      </c>
      <c r="C206" s="26">
        <v>100</v>
      </c>
      <c r="D206" s="25">
        <v>12930</v>
      </c>
      <c r="E206" s="25">
        <v>12672</v>
      </c>
      <c r="F206" s="69">
        <f t="shared" si="4"/>
        <v>0.98004640371229701</v>
      </c>
      <c r="G206" s="1"/>
      <c r="H206" s="1"/>
    </row>
    <row r="207" spans="1:8" ht="22.5">
      <c r="A207" s="22" t="s">
        <v>92</v>
      </c>
      <c r="B207" s="23" t="s">
        <v>200</v>
      </c>
      <c r="C207" s="26">
        <v>200</v>
      </c>
      <c r="D207" s="25">
        <v>4950</v>
      </c>
      <c r="E207" s="25">
        <v>2895</v>
      </c>
      <c r="F207" s="69">
        <f t="shared" si="4"/>
        <v>0.58484848484848484</v>
      </c>
      <c r="G207" s="1"/>
      <c r="H207" s="1"/>
    </row>
    <row r="208" spans="1:8">
      <c r="A208" s="27" t="s">
        <v>110</v>
      </c>
      <c r="B208" s="6" t="s">
        <v>200</v>
      </c>
      <c r="C208" s="4">
        <v>500</v>
      </c>
      <c r="D208" s="5">
        <v>13000</v>
      </c>
      <c r="E208" s="5">
        <v>12887.93</v>
      </c>
      <c r="F208" s="69">
        <f t="shared" si="4"/>
        <v>0.99137923076923085</v>
      </c>
      <c r="G208" s="1"/>
      <c r="H208" s="1"/>
    </row>
    <row r="209" spans="1:8" ht="22.5">
      <c r="A209" s="16" t="s">
        <v>201</v>
      </c>
      <c r="B209" s="17" t="s">
        <v>202</v>
      </c>
      <c r="C209" s="17"/>
      <c r="D209" s="18">
        <f t="shared" ref="D209:E211" si="5">D210</f>
        <v>25000</v>
      </c>
      <c r="E209" s="18">
        <f t="shared" si="5"/>
        <v>25000</v>
      </c>
      <c r="F209" s="69">
        <f t="shared" si="4"/>
        <v>1</v>
      </c>
      <c r="G209" s="1"/>
      <c r="H209" s="1"/>
    </row>
    <row r="210" spans="1:8" ht="22.5">
      <c r="A210" s="19" t="s">
        <v>203</v>
      </c>
      <c r="B210" s="20" t="s">
        <v>204</v>
      </c>
      <c r="C210" s="20"/>
      <c r="D210" s="21">
        <f t="shared" si="5"/>
        <v>25000</v>
      </c>
      <c r="E210" s="21">
        <f t="shared" si="5"/>
        <v>25000</v>
      </c>
      <c r="F210" s="69">
        <f t="shared" si="4"/>
        <v>1</v>
      </c>
      <c r="G210" s="1"/>
      <c r="H210" s="1"/>
    </row>
    <row r="211" spans="1:8" ht="22.5">
      <c r="A211" s="27" t="s">
        <v>205</v>
      </c>
      <c r="B211" s="8" t="s">
        <v>206</v>
      </c>
      <c r="C211" s="8"/>
      <c r="D211" s="9">
        <f t="shared" si="5"/>
        <v>25000</v>
      </c>
      <c r="E211" s="9">
        <f t="shared" si="5"/>
        <v>25000</v>
      </c>
      <c r="F211" s="69">
        <f t="shared" si="4"/>
        <v>1</v>
      </c>
      <c r="G211" s="1"/>
      <c r="H211" s="1"/>
    </row>
    <row r="212" spans="1:8" ht="22.5">
      <c r="A212" s="27" t="s">
        <v>92</v>
      </c>
      <c r="B212" s="7" t="s">
        <v>206</v>
      </c>
      <c r="C212" s="8" t="s">
        <v>93</v>
      </c>
      <c r="D212" s="9">
        <v>25000</v>
      </c>
      <c r="E212" s="9">
        <v>25000</v>
      </c>
      <c r="F212" s="69">
        <f t="shared" si="4"/>
        <v>1</v>
      </c>
      <c r="G212" s="1"/>
      <c r="H212" s="1"/>
    </row>
    <row r="213" spans="1:8" ht="31.5">
      <c r="A213" s="13" t="s">
        <v>207</v>
      </c>
      <c r="B213" s="12" t="s">
        <v>208</v>
      </c>
      <c r="C213" s="12"/>
      <c r="D213" s="15">
        <f>D214+D251</f>
        <v>36876076.409999996</v>
      </c>
      <c r="E213" s="15">
        <f>E214+E251</f>
        <v>20966860.98</v>
      </c>
      <c r="F213" s="69">
        <f t="shared" si="4"/>
        <v>0.56857624295176479</v>
      </c>
      <c r="G213" s="1"/>
      <c r="H213" s="1"/>
    </row>
    <row r="214" spans="1:8" ht="22.5">
      <c r="A214" s="16" t="s">
        <v>209</v>
      </c>
      <c r="B214" s="17" t="s">
        <v>210</v>
      </c>
      <c r="C214" s="17"/>
      <c r="D214" s="18">
        <f>D215</f>
        <v>36131076.409999996</v>
      </c>
      <c r="E214" s="18">
        <f>E215</f>
        <v>20287252.550000001</v>
      </c>
      <c r="F214" s="69">
        <f t="shared" si="4"/>
        <v>0.56149040011398887</v>
      </c>
      <c r="G214" s="1"/>
      <c r="H214" s="1"/>
    </row>
    <row r="215" spans="1:8" ht="22.5">
      <c r="A215" s="19" t="s">
        <v>211</v>
      </c>
      <c r="B215" s="20" t="s">
        <v>212</v>
      </c>
      <c r="C215" s="20"/>
      <c r="D215" s="21">
        <f>D216+D223+D229+D231+D233+D236+D238+D240+D244+D246+D248+D220+D218+D227+D242+D225</f>
        <v>36131076.409999996</v>
      </c>
      <c r="E215" s="21">
        <f>E216+E223+E229+E231+E233+E236+E238+E240+E244+E246+E248+E220+E218+E227+E242+E225</f>
        <v>20287252.550000001</v>
      </c>
      <c r="F215" s="69">
        <f t="shared" si="4"/>
        <v>0.56149040011398887</v>
      </c>
      <c r="G215" s="1"/>
      <c r="H215" s="1"/>
    </row>
    <row r="216" spans="1:8" ht="22.5">
      <c r="A216" s="29" t="s">
        <v>213</v>
      </c>
      <c r="B216" s="6" t="s">
        <v>214</v>
      </c>
      <c r="C216" s="6"/>
      <c r="D216" s="5">
        <f>D217</f>
        <v>1520925</v>
      </c>
      <c r="E216" s="5">
        <f>E217</f>
        <v>1520925</v>
      </c>
      <c r="F216" s="69">
        <f t="shared" si="4"/>
        <v>1</v>
      </c>
      <c r="G216" s="1"/>
      <c r="H216" s="1"/>
    </row>
    <row r="217" spans="1:8">
      <c r="A217" s="29" t="s">
        <v>110</v>
      </c>
      <c r="B217" s="6" t="s">
        <v>214</v>
      </c>
      <c r="C217" s="23" t="s">
        <v>229</v>
      </c>
      <c r="D217" s="5">
        <f>0+12071734+320337-10871146</f>
        <v>1520925</v>
      </c>
      <c r="E217" s="5">
        <f>0+12071734+320337-10871146</f>
        <v>1520925</v>
      </c>
      <c r="F217" s="69">
        <f t="shared" si="4"/>
        <v>1</v>
      </c>
      <c r="G217" s="1"/>
      <c r="H217" s="1"/>
    </row>
    <row r="218" spans="1:8">
      <c r="A218" s="35" t="s">
        <v>385</v>
      </c>
      <c r="B218" s="36" t="s">
        <v>386</v>
      </c>
      <c r="C218" s="36"/>
      <c r="D218" s="34">
        <f>D219</f>
        <v>35000</v>
      </c>
      <c r="E218" s="34">
        <f>E219</f>
        <v>35000</v>
      </c>
      <c r="F218" s="69">
        <f t="shared" si="4"/>
        <v>1</v>
      </c>
      <c r="G218" s="1"/>
      <c r="H218" s="1"/>
    </row>
    <row r="219" spans="1:8">
      <c r="A219" s="22" t="s">
        <v>110</v>
      </c>
      <c r="B219" s="36" t="s">
        <v>386</v>
      </c>
      <c r="C219" s="36">
        <v>500</v>
      </c>
      <c r="D219" s="34">
        <v>35000</v>
      </c>
      <c r="E219" s="34">
        <v>35000</v>
      </c>
      <c r="F219" s="69">
        <f t="shared" si="4"/>
        <v>1</v>
      </c>
      <c r="G219" s="1"/>
      <c r="H219" s="1"/>
    </row>
    <row r="220" spans="1:8" ht="22.5">
      <c r="A220" s="22" t="s">
        <v>384</v>
      </c>
      <c r="B220" s="23" t="s">
        <v>235</v>
      </c>
      <c r="C220" s="26"/>
      <c r="D220" s="25">
        <f>D222+D221</f>
        <v>737089.26</v>
      </c>
      <c r="E220" s="25">
        <f>E222+E221</f>
        <v>307089.26</v>
      </c>
      <c r="F220" s="69">
        <f t="shared" si="4"/>
        <v>0.41662424982287766</v>
      </c>
      <c r="G220" s="1"/>
      <c r="H220" s="1"/>
    </row>
    <row r="221" spans="1:8" ht="22.5">
      <c r="A221" s="22" t="s">
        <v>92</v>
      </c>
      <c r="B221" s="23" t="s">
        <v>235</v>
      </c>
      <c r="C221" s="26">
        <v>200</v>
      </c>
      <c r="D221" s="25">
        <f>463800-33800</f>
        <v>430000</v>
      </c>
      <c r="E221" s="25">
        <v>0</v>
      </c>
      <c r="F221" s="69">
        <f t="shared" si="4"/>
        <v>0</v>
      </c>
      <c r="G221" s="1"/>
      <c r="H221" s="1"/>
    </row>
    <row r="222" spans="1:8">
      <c r="A222" s="22" t="s">
        <v>84</v>
      </c>
      <c r="B222" s="23" t="s">
        <v>235</v>
      </c>
      <c r="C222" s="26">
        <v>400</v>
      </c>
      <c r="D222" s="25">
        <v>307089.26</v>
      </c>
      <c r="E222" s="25">
        <v>307089.26</v>
      </c>
      <c r="F222" s="69">
        <f t="shared" si="4"/>
        <v>1</v>
      </c>
      <c r="G222" s="1"/>
      <c r="H222" s="1"/>
    </row>
    <row r="223" spans="1:8" ht="22.5">
      <c r="A223" s="27" t="s">
        <v>215</v>
      </c>
      <c r="B223" s="6" t="s">
        <v>216</v>
      </c>
      <c r="C223" s="4"/>
      <c r="D223" s="5">
        <f>D224</f>
        <v>7000000</v>
      </c>
      <c r="E223" s="5">
        <f>E224</f>
        <v>0</v>
      </c>
      <c r="F223" s="69">
        <f t="shared" si="4"/>
        <v>0</v>
      </c>
      <c r="G223" s="1"/>
      <c r="H223" s="1"/>
    </row>
    <row r="224" spans="1:8" ht="22.5">
      <c r="A224" s="29" t="s">
        <v>92</v>
      </c>
      <c r="B224" s="6" t="s">
        <v>216</v>
      </c>
      <c r="C224" s="4">
        <v>200</v>
      </c>
      <c r="D224" s="5">
        <f>2100000+4900000</f>
        <v>7000000</v>
      </c>
      <c r="E224" s="5">
        <v>0</v>
      </c>
      <c r="F224" s="69">
        <f t="shared" si="4"/>
        <v>0</v>
      </c>
      <c r="G224" s="1"/>
      <c r="H224" s="1"/>
    </row>
    <row r="225" spans="1:8">
      <c r="A225" s="29" t="s">
        <v>410</v>
      </c>
      <c r="B225" s="6" t="s">
        <v>411</v>
      </c>
      <c r="C225" s="4"/>
      <c r="D225" s="5">
        <f>D226</f>
        <v>50000</v>
      </c>
      <c r="E225" s="5">
        <f>E226</f>
        <v>50000</v>
      </c>
      <c r="F225" s="69">
        <f t="shared" si="4"/>
        <v>1</v>
      </c>
      <c r="G225" s="1"/>
      <c r="H225" s="1"/>
    </row>
    <row r="226" spans="1:8" ht="22.5">
      <c r="A226" s="29" t="s">
        <v>92</v>
      </c>
      <c r="B226" s="6" t="s">
        <v>411</v>
      </c>
      <c r="C226" s="4">
        <v>200</v>
      </c>
      <c r="D226" s="5">
        <v>50000</v>
      </c>
      <c r="E226" s="5">
        <v>50000</v>
      </c>
      <c r="F226" s="69">
        <f t="shared" si="4"/>
        <v>1</v>
      </c>
      <c r="G226" s="1"/>
      <c r="H226" s="1"/>
    </row>
    <row r="227" spans="1:8" ht="22.5">
      <c r="A227" s="35" t="s">
        <v>387</v>
      </c>
      <c r="B227" s="28" t="s">
        <v>388</v>
      </c>
      <c r="C227" s="36"/>
      <c r="D227" s="34">
        <f>D228</f>
        <v>27000</v>
      </c>
      <c r="E227" s="34">
        <f>E228</f>
        <v>27000</v>
      </c>
      <c r="F227" s="69">
        <f t="shared" si="4"/>
        <v>1</v>
      </c>
      <c r="G227" s="1"/>
      <c r="H227" s="1"/>
    </row>
    <row r="228" spans="1:8">
      <c r="A228" s="22" t="s">
        <v>110</v>
      </c>
      <c r="B228" s="28" t="s">
        <v>388</v>
      </c>
      <c r="C228" s="36">
        <v>500</v>
      </c>
      <c r="D228" s="34">
        <v>27000</v>
      </c>
      <c r="E228" s="34">
        <v>27000</v>
      </c>
      <c r="F228" s="69">
        <f t="shared" si="4"/>
        <v>1</v>
      </c>
      <c r="G228" s="1"/>
      <c r="H228" s="1"/>
    </row>
    <row r="229" spans="1:8" ht="23.25" customHeight="1">
      <c r="A229" s="27" t="s">
        <v>217</v>
      </c>
      <c r="B229" s="6" t="s">
        <v>218</v>
      </c>
      <c r="C229" s="4"/>
      <c r="D229" s="9">
        <f>D230</f>
        <v>9475000</v>
      </c>
      <c r="E229" s="9">
        <f>E230</f>
        <v>9475000</v>
      </c>
      <c r="F229" s="69">
        <f t="shared" si="4"/>
        <v>1</v>
      </c>
      <c r="G229" s="1"/>
      <c r="H229" s="1"/>
    </row>
    <row r="230" spans="1:8">
      <c r="A230" s="27" t="s">
        <v>104</v>
      </c>
      <c r="B230" s="6" t="s">
        <v>218</v>
      </c>
      <c r="C230" s="6" t="s">
        <v>105</v>
      </c>
      <c r="D230" s="5">
        <f>3875000+600000+5000000</f>
        <v>9475000</v>
      </c>
      <c r="E230" s="5">
        <f>3875000+600000+5000000</f>
        <v>9475000</v>
      </c>
      <c r="F230" s="69">
        <f t="shared" si="4"/>
        <v>1</v>
      </c>
      <c r="G230" s="1"/>
      <c r="H230" s="1"/>
    </row>
    <row r="231" spans="1:8" ht="22.5">
      <c r="A231" s="27" t="s">
        <v>219</v>
      </c>
      <c r="B231" s="8" t="s">
        <v>220</v>
      </c>
      <c r="C231" s="8"/>
      <c r="D231" s="9">
        <f>+D232</f>
        <v>1393514.04</v>
      </c>
      <c r="E231" s="9">
        <f>+E232</f>
        <v>1388713.96</v>
      </c>
      <c r="F231" s="69">
        <f t="shared" si="4"/>
        <v>0.99655541324865293</v>
      </c>
      <c r="G231" s="1"/>
      <c r="H231" s="1"/>
    </row>
    <row r="232" spans="1:8" ht="22.5">
      <c r="A232" s="29" t="s">
        <v>92</v>
      </c>
      <c r="B232" s="4" t="s">
        <v>220</v>
      </c>
      <c r="C232" s="4" t="s">
        <v>93</v>
      </c>
      <c r="D232" s="5">
        <f>1352000+41514.04</f>
        <v>1393514.04</v>
      </c>
      <c r="E232" s="5">
        <v>1388713.96</v>
      </c>
      <c r="F232" s="69">
        <f t="shared" si="4"/>
        <v>0.99655541324865293</v>
      </c>
      <c r="G232" s="1"/>
      <c r="H232" s="1"/>
    </row>
    <row r="233" spans="1:8">
      <c r="A233" s="29" t="s">
        <v>221</v>
      </c>
      <c r="B233" s="6" t="s">
        <v>222</v>
      </c>
      <c r="C233" s="4"/>
      <c r="D233" s="5">
        <f>D234+D235</f>
        <v>60000</v>
      </c>
      <c r="E233" s="5">
        <f>E234+E235</f>
        <v>26408</v>
      </c>
      <c r="F233" s="69">
        <f t="shared" si="4"/>
        <v>0.44013333333333332</v>
      </c>
      <c r="G233" s="1"/>
      <c r="H233" s="1"/>
    </row>
    <row r="234" spans="1:8" ht="22.5">
      <c r="A234" s="29" t="s">
        <v>92</v>
      </c>
      <c r="B234" s="6" t="s">
        <v>222</v>
      </c>
      <c r="C234" s="4">
        <v>200</v>
      </c>
      <c r="D234" s="5">
        <f>100000-50000</f>
        <v>50000</v>
      </c>
      <c r="E234" s="5">
        <v>24908</v>
      </c>
      <c r="F234" s="69">
        <f t="shared" si="4"/>
        <v>0.49815999999999999</v>
      </c>
      <c r="G234" s="1"/>
      <c r="H234" s="1"/>
    </row>
    <row r="235" spans="1:8">
      <c r="A235" s="29" t="s">
        <v>22</v>
      </c>
      <c r="B235" s="6" t="s">
        <v>222</v>
      </c>
      <c r="C235" s="4" t="s">
        <v>23</v>
      </c>
      <c r="D235" s="5">
        <v>10000</v>
      </c>
      <c r="E235" s="5">
        <v>1500</v>
      </c>
      <c r="F235" s="69">
        <f t="shared" si="4"/>
        <v>0.15</v>
      </c>
      <c r="G235" s="1"/>
      <c r="H235" s="1"/>
    </row>
    <row r="236" spans="1:8" ht="22.5">
      <c r="A236" s="27" t="s">
        <v>223</v>
      </c>
      <c r="B236" s="8" t="s">
        <v>224</v>
      </c>
      <c r="C236" s="8"/>
      <c r="D236" s="9">
        <f>D237</f>
        <v>527169.05000000005</v>
      </c>
      <c r="E236" s="9">
        <f>E237</f>
        <v>526737.27</v>
      </c>
      <c r="F236" s="69">
        <f t="shared" si="4"/>
        <v>0.9991809458464983</v>
      </c>
      <c r="G236" s="1"/>
      <c r="H236" s="1"/>
    </row>
    <row r="237" spans="1:8" ht="22.5">
      <c r="A237" s="27" t="s">
        <v>92</v>
      </c>
      <c r="B237" s="8" t="s">
        <v>224</v>
      </c>
      <c r="C237" s="8" t="s">
        <v>93</v>
      </c>
      <c r="D237" s="9">
        <f>461000+100000-89130.95+55300</f>
        <v>527169.05000000005</v>
      </c>
      <c r="E237" s="9">
        <v>526737.27</v>
      </c>
      <c r="F237" s="69">
        <f t="shared" si="4"/>
        <v>0.9991809458464983</v>
      </c>
      <c r="G237" s="1"/>
      <c r="H237" s="1"/>
    </row>
    <row r="238" spans="1:8" ht="33.75">
      <c r="A238" s="29" t="s">
        <v>225</v>
      </c>
      <c r="B238" s="6" t="s">
        <v>226</v>
      </c>
      <c r="C238" s="6"/>
      <c r="D238" s="5">
        <f>D239</f>
        <v>230904</v>
      </c>
      <c r="E238" s="5">
        <f>E239</f>
        <v>230904</v>
      </c>
      <c r="F238" s="69">
        <f t="shared" si="4"/>
        <v>1</v>
      </c>
      <c r="G238" s="1"/>
      <c r="H238" s="1"/>
    </row>
    <row r="239" spans="1:8" ht="22.5">
      <c r="A239" s="29" t="s">
        <v>92</v>
      </c>
      <c r="B239" s="6" t="s">
        <v>226</v>
      </c>
      <c r="C239" s="6" t="s">
        <v>93</v>
      </c>
      <c r="D239" s="5">
        <v>230904</v>
      </c>
      <c r="E239" s="5">
        <v>230904</v>
      </c>
      <c r="F239" s="69">
        <f t="shared" si="4"/>
        <v>1</v>
      </c>
      <c r="G239" s="1"/>
      <c r="H239" s="1"/>
    </row>
    <row r="240" spans="1:8" ht="33.75">
      <c r="A240" s="27" t="s">
        <v>227</v>
      </c>
      <c r="B240" s="8" t="s">
        <v>228</v>
      </c>
      <c r="C240" s="8"/>
      <c r="D240" s="9">
        <f>D241</f>
        <v>200000</v>
      </c>
      <c r="E240" s="9">
        <f>E241</f>
        <v>0</v>
      </c>
      <c r="F240" s="69">
        <f t="shared" si="4"/>
        <v>0</v>
      </c>
      <c r="G240" s="1"/>
      <c r="H240" s="1"/>
    </row>
    <row r="241" spans="1:8">
      <c r="A241" s="27" t="s">
        <v>110</v>
      </c>
      <c r="B241" s="8" t="s">
        <v>228</v>
      </c>
      <c r="C241" s="8" t="s">
        <v>229</v>
      </c>
      <c r="D241" s="9">
        <v>200000</v>
      </c>
      <c r="E241" s="9">
        <v>0</v>
      </c>
      <c r="F241" s="69">
        <f t="shared" si="4"/>
        <v>0</v>
      </c>
      <c r="G241" s="1"/>
      <c r="H241" s="1"/>
    </row>
    <row r="242" spans="1:8">
      <c r="A242" s="35" t="s">
        <v>389</v>
      </c>
      <c r="B242" s="28" t="s">
        <v>390</v>
      </c>
      <c r="C242" s="36"/>
      <c r="D242" s="34">
        <f>D243</f>
        <v>338675</v>
      </c>
      <c r="E242" s="34">
        <f>E243</f>
        <v>338675</v>
      </c>
      <c r="F242" s="69">
        <f t="shared" ref="F242:F295" si="6">E242/D242</f>
        <v>1</v>
      </c>
      <c r="G242" s="1"/>
      <c r="H242" s="1"/>
    </row>
    <row r="243" spans="1:8">
      <c r="A243" s="22" t="s">
        <v>110</v>
      </c>
      <c r="B243" s="28" t="s">
        <v>390</v>
      </c>
      <c r="C243" s="36">
        <v>500</v>
      </c>
      <c r="D243" s="34">
        <v>338675</v>
      </c>
      <c r="E243" s="34">
        <v>338675</v>
      </c>
      <c r="F243" s="69">
        <f t="shared" si="6"/>
        <v>1</v>
      </c>
      <c r="G243" s="1"/>
      <c r="H243" s="1"/>
    </row>
    <row r="244" spans="1:8">
      <c r="A244" s="29" t="s">
        <v>230</v>
      </c>
      <c r="B244" s="6" t="s">
        <v>231</v>
      </c>
      <c r="C244" s="4"/>
      <c r="D244" s="5">
        <f>D245</f>
        <v>240800.06</v>
      </c>
      <c r="E244" s="5">
        <f>E245</f>
        <v>240800.06</v>
      </c>
      <c r="F244" s="69">
        <f t="shared" si="6"/>
        <v>1</v>
      </c>
      <c r="G244" s="1"/>
      <c r="H244" s="1"/>
    </row>
    <row r="245" spans="1:8">
      <c r="A245" s="29" t="s">
        <v>110</v>
      </c>
      <c r="B245" s="6" t="s">
        <v>231</v>
      </c>
      <c r="C245" s="4">
        <v>500</v>
      </c>
      <c r="D245" s="5">
        <f>560000-319199.94</f>
        <v>240800.06</v>
      </c>
      <c r="E245" s="5">
        <f>560000-319199.94</f>
        <v>240800.06</v>
      </c>
      <c r="F245" s="69">
        <f t="shared" si="6"/>
        <v>1</v>
      </c>
      <c r="G245" s="1"/>
      <c r="H245" s="1"/>
    </row>
    <row r="246" spans="1:8" ht="22.5">
      <c r="A246" s="29" t="s">
        <v>232</v>
      </c>
      <c r="B246" s="6" t="s">
        <v>233</v>
      </c>
      <c r="C246" s="4"/>
      <c r="D246" s="5">
        <f>D247</f>
        <v>292000</v>
      </c>
      <c r="E246" s="5">
        <f>E247</f>
        <v>287000</v>
      </c>
      <c r="F246" s="69">
        <f t="shared" si="6"/>
        <v>0.98287671232876717</v>
      </c>
      <c r="G246" s="1"/>
      <c r="H246" s="1"/>
    </row>
    <row r="247" spans="1:8" ht="22.5">
      <c r="A247" s="29" t="s">
        <v>92</v>
      </c>
      <c r="B247" s="6" t="s">
        <v>233</v>
      </c>
      <c r="C247" s="4">
        <v>200</v>
      </c>
      <c r="D247" s="5">
        <v>292000</v>
      </c>
      <c r="E247" s="5">
        <v>287000</v>
      </c>
      <c r="F247" s="69">
        <f t="shared" si="6"/>
        <v>0.98287671232876717</v>
      </c>
      <c r="G247" s="1"/>
      <c r="H247" s="1"/>
    </row>
    <row r="248" spans="1:8" ht="22.5">
      <c r="A248" s="22" t="s">
        <v>383</v>
      </c>
      <c r="B248" s="23" t="s">
        <v>234</v>
      </c>
      <c r="C248" s="26"/>
      <c r="D248" s="25">
        <f>D250+D249</f>
        <v>14003000</v>
      </c>
      <c r="E248" s="25">
        <f>E250+E249</f>
        <v>5833000</v>
      </c>
      <c r="F248" s="69">
        <f t="shared" si="6"/>
        <v>0.41655359565807326</v>
      </c>
      <c r="G248" s="1"/>
      <c r="H248" s="1"/>
    </row>
    <row r="249" spans="1:8" ht="22.5">
      <c r="A249" s="22" t="s">
        <v>92</v>
      </c>
      <c r="B249" s="23" t="s">
        <v>234</v>
      </c>
      <c r="C249" s="26">
        <v>200</v>
      </c>
      <c r="D249" s="25">
        <f>8812200-642200</f>
        <v>8170000</v>
      </c>
      <c r="E249" s="25">
        <v>0</v>
      </c>
      <c r="F249" s="69">
        <f t="shared" si="6"/>
        <v>0</v>
      </c>
      <c r="G249" s="1"/>
      <c r="H249" s="1"/>
    </row>
    <row r="250" spans="1:8">
      <c r="A250" s="22" t="s">
        <v>84</v>
      </c>
      <c r="B250" s="23" t="s">
        <v>234</v>
      </c>
      <c r="C250" s="26">
        <v>400</v>
      </c>
      <c r="D250" s="25">
        <v>5833000</v>
      </c>
      <c r="E250" s="25">
        <v>5833000</v>
      </c>
      <c r="F250" s="69">
        <f t="shared" si="6"/>
        <v>1</v>
      </c>
      <c r="G250" s="1"/>
      <c r="H250" s="1"/>
    </row>
    <row r="251" spans="1:8">
      <c r="A251" s="16" t="s">
        <v>236</v>
      </c>
      <c r="B251" s="43" t="s">
        <v>237</v>
      </c>
      <c r="C251" s="17"/>
      <c r="D251" s="18">
        <f t="shared" ref="D251:E253" si="7">D252</f>
        <v>745000</v>
      </c>
      <c r="E251" s="18">
        <f t="shared" si="7"/>
        <v>679608.43</v>
      </c>
      <c r="F251" s="69">
        <f t="shared" si="6"/>
        <v>0.91222608053691279</v>
      </c>
      <c r="G251" s="1"/>
      <c r="H251" s="1"/>
    </row>
    <row r="252" spans="1:8">
      <c r="A252" s="19" t="s">
        <v>238</v>
      </c>
      <c r="B252" s="53" t="s">
        <v>239</v>
      </c>
      <c r="C252" s="20"/>
      <c r="D252" s="21">
        <f t="shared" si="7"/>
        <v>745000</v>
      </c>
      <c r="E252" s="21">
        <f t="shared" si="7"/>
        <v>679608.43</v>
      </c>
      <c r="F252" s="69">
        <f t="shared" si="6"/>
        <v>0.91222608053691279</v>
      </c>
      <c r="G252" s="1"/>
      <c r="H252" s="1"/>
    </row>
    <row r="253" spans="1:8" ht="22.5">
      <c r="A253" s="27" t="s">
        <v>240</v>
      </c>
      <c r="B253" s="7" t="s">
        <v>241</v>
      </c>
      <c r="C253" s="8"/>
      <c r="D253" s="9">
        <f t="shared" si="7"/>
        <v>745000</v>
      </c>
      <c r="E253" s="9">
        <f t="shared" si="7"/>
        <v>679608.43</v>
      </c>
      <c r="F253" s="69">
        <f t="shared" si="6"/>
        <v>0.91222608053691279</v>
      </c>
      <c r="G253" s="1"/>
      <c r="H253" s="1"/>
    </row>
    <row r="254" spans="1:8" ht="20.25" customHeight="1">
      <c r="A254" s="29" t="s">
        <v>92</v>
      </c>
      <c r="B254" s="7" t="s">
        <v>241</v>
      </c>
      <c r="C254" s="8">
        <v>200</v>
      </c>
      <c r="D254" s="9">
        <f>736380+8620</f>
        <v>745000</v>
      </c>
      <c r="E254" s="9">
        <v>679608.43</v>
      </c>
      <c r="F254" s="69">
        <f t="shared" si="6"/>
        <v>0.91222608053691279</v>
      </c>
      <c r="G254" s="1"/>
      <c r="H254" s="1"/>
    </row>
    <row r="255" spans="1:8" ht="21">
      <c r="A255" s="13" t="s">
        <v>242</v>
      </c>
      <c r="B255" s="12" t="s">
        <v>243</v>
      </c>
      <c r="C255" s="12"/>
      <c r="D255" s="15">
        <f>D256+D267</f>
        <v>52078239.210000001</v>
      </c>
      <c r="E255" s="15">
        <f>E256+E267</f>
        <v>49645605.910000004</v>
      </c>
      <c r="F255" s="69">
        <f t="shared" si="6"/>
        <v>0.95328887195685208</v>
      </c>
      <c r="G255" s="1"/>
      <c r="H255" s="1"/>
    </row>
    <row r="256" spans="1:8" ht="33.75">
      <c r="A256" s="16" t="s">
        <v>244</v>
      </c>
      <c r="B256" s="17" t="s">
        <v>245</v>
      </c>
      <c r="C256" s="17"/>
      <c r="D256" s="18">
        <f>D257+D260</f>
        <v>45828239.210000001</v>
      </c>
      <c r="E256" s="18">
        <f>E257+E260</f>
        <v>43395605.910000004</v>
      </c>
      <c r="F256" s="69">
        <f t="shared" si="6"/>
        <v>0.94691846464244733</v>
      </c>
      <c r="G256" s="1"/>
      <c r="H256" s="1"/>
    </row>
    <row r="257" spans="1:8" ht="22.5">
      <c r="A257" s="30" t="s">
        <v>246</v>
      </c>
      <c r="B257" s="32" t="s">
        <v>247</v>
      </c>
      <c r="C257" s="32"/>
      <c r="D257" s="33">
        <f>D258</f>
        <v>8331956.4700000007</v>
      </c>
      <c r="E257" s="33">
        <f>E258</f>
        <v>5899727.21</v>
      </c>
      <c r="F257" s="69">
        <f t="shared" si="6"/>
        <v>0.70808425743011583</v>
      </c>
      <c r="G257" s="1"/>
      <c r="H257" s="1"/>
    </row>
    <row r="258" spans="1:8" ht="22.5">
      <c r="A258" s="29" t="s">
        <v>248</v>
      </c>
      <c r="B258" s="4" t="s">
        <v>249</v>
      </c>
      <c r="C258" s="4"/>
      <c r="D258" s="5">
        <f>D259</f>
        <v>8331956.4700000007</v>
      </c>
      <c r="E258" s="5">
        <f>E259</f>
        <v>5899727.21</v>
      </c>
      <c r="F258" s="69">
        <f t="shared" si="6"/>
        <v>0.70808425743011583</v>
      </c>
      <c r="G258" s="1"/>
      <c r="H258" s="1"/>
    </row>
    <row r="259" spans="1:8" ht="22.5">
      <c r="A259" s="29" t="s">
        <v>92</v>
      </c>
      <c r="B259" s="6" t="s">
        <v>249</v>
      </c>
      <c r="C259" s="4" t="s">
        <v>93</v>
      </c>
      <c r="D259" s="5">
        <f>6033000+525000+3323931.74-1591010.1-199986.63+241021.46</f>
        <v>8331956.4700000007</v>
      </c>
      <c r="E259" s="5">
        <v>5899727.21</v>
      </c>
      <c r="F259" s="69">
        <f t="shared" si="6"/>
        <v>0.70808425743011583</v>
      </c>
      <c r="G259" s="1"/>
      <c r="H259" s="1"/>
    </row>
    <row r="260" spans="1:8">
      <c r="A260" s="19" t="s">
        <v>250</v>
      </c>
      <c r="B260" s="20" t="s">
        <v>251</v>
      </c>
      <c r="C260" s="20"/>
      <c r="D260" s="21">
        <f>D261+D265+D263</f>
        <v>37496282.740000002</v>
      </c>
      <c r="E260" s="21">
        <f>E261+E265+E263</f>
        <v>37495878.700000003</v>
      </c>
      <c r="F260" s="69">
        <f t="shared" si="6"/>
        <v>0.9999892245318609</v>
      </c>
      <c r="G260" s="1"/>
      <c r="H260" s="1"/>
    </row>
    <row r="261" spans="1:8" ht="45">
      <c r="A261" s="27" t="s">
        <v>252</v>
      </c>
      <c r="B261" s="8" t="s">
        <v>253</v>
      </c>
      <c r="C261" s="8"/>
      <c r="D261" s="9">
        <f>D262</f>
        <v>1950097.7400000002</v>
      </c>
      <c r="E261" s="9">
        <f>E262</f>
        <v>1950053.7</v>
      </c>
      <c r="F261" s="69">
        <f t="shared" si="6"/>
        <v>0.99997741651656891</v>
      </c>
      <c r="G261" s="1"/>
      <c r="H261" s="1"/>
    </row>
    <row r="262" spans="1:8" ht="22.5">
      <c r="A262" s="29" t="s">
        <v>92</v>
      </c>
      <c r="B262" s="8" t="s">
        <v>253</v>
      </c>
      <c r="C262" s="4" t="s">
        <v>93</v>
      </c>
      <c r="D262" s="5">
        <f>159101.01+1591010.1+199986.63</f>
        <v>1950097.7400000002</v>
      </c>
      <c r="E262" s="5">
        <v>1950053.7</v>
      </c>
      <c r="F262" s="69">
        <f t="shared" si="6"/>
        <v>0.99997741651656891</v>
      </c>
      <c r="G262" s="1"/>
      <c r="H262" s="1"/>
    </row>
    <row r="263" spans="1:8" ht="22.5" hidden="1" customHeight="1">
      <c r="A263" s="27" t="s">
        <v>254</v>
      </c>
      <c r="B263" s="7" t="s">
        <v>255</v>
      </c>
      <c r="C263" s="8"/>
      <c r="D263" s="9">
        <f>D264</f>
        <v>0</v>
      </c>
      <c r="E263" s="9">
        <f>E264</f>
        <v>0</v>
      </c>
      <c r="F263" s="69" t="e">
        <f t="shared" si="6"/>
        <v>#DIV/0!</v>
      </c>
      <c r="G263" s="1"/>
      <c r="H263" s="1"/>
    </row>
    <row r="264" spans="1:8" ht="21.75" hidden="1" customHeight="1">
      <c r="A264" s="29" t="s">
        <v>92</v>
      </c>
      <c r="B264" s="7" t="s">
        <v>255</v>
      </c>
      <c r="C264" s="8">
        <v>200</v>
      </c>
      <c r="D264" s="9">
        <v>0</v>
      </c>
      <c r="E264" s="9">
        <v>0</v>
      </c>
      <c r="F264" s="69" t="e">
        <f t="shared" si="6"/>
        <v>#DIV/0!</v>
      </c>
      <c r="G264" s="1"/>
      <c r="H264" s="1"/>
    </row>
    <row r="265" spans="1:8" ht="56.25" customHeight="1">
      <c r="A265" s="27" t="s">
        <v>256</v>
      </c>
      <c r="B265" s="8" t="s">
        <v>257</v>
      </c>
      <c r="C265" s="8"/>
      <c r="D265" s="9">
        <f>D266</f>
        <v>35546185</v>
      </c>
      <c r="E265" s="9">
        <f>E266</f>
        <v>35545825</v>
      </c>
      <c r="F265" s="69">
        <f t="shared" si="6"/>
        <v>0.99998987233088443</v>
      </c>
      <c r="G265" s="1"/>
      <c r="H265" s="1"/>
    </row>
    <row r="266" spans="1:8" ht="22.5">
      <c r="A266" s="29" t="s">
        <v>92</v>
      </c>
      <c r="B266" s="8" t="s">
        <v>257</v>
      </c>
      <c r="C266" s="4" t="s">
        <v>93</v>
      </c>
      <c r="D266" s="5">
        <f>15751000+19795185</f>
        <v>35546185</v>
      </c>
      <c r="E266" s="5">
        <v>35545825</v>
      </c>
      <c r="F266" s="69">
        <f t="shared" si="6"/>
        <v>0.99998987233088443</v>
      </c>
      <c r="G266" s="1"/>
      <c r="H266" s="1"/>
    </row>
    <row r="267" spans="1:8" ht="22.5">
      <c r="A267" s="16" t="s">
        <v>258</v>
      </c>
      <c r="B267" s="43" t="s">
        <v>259</v>
      </c>
      <c r="C267" s="17"/>
      <c r="D267" s="18">
        <f>D268</f>
        <v>6250000</v>
      </c>
      <c r="E267" s="18">
        <f>E268</f>
        <v>6250000</v>
      </c>
      <c r="F267" s="69">
        <f t="shared" si="6"/>
        <v>1</v>
      </c>
      <c r="G267" s="1"/>
      <c r="H267" s="1"/>
    </row>
    <row r="268" spans="1:8">
      <c r="A268" s="19" t="s">
        <v>260</v>
      </c>
      <c r="B268" s="53" t="s">
        <v>261</v>
      </c>
      <c r="C268" s="20"/>
      <c r="D268" s="21">
        <f>D269+D271</f>
        <v>6250000</v>
      </c>
      <c r="E268" s="21">
        <f>E269+E271</f>
        <v>6250000</v>
      </c>
      <c r="F268" s="69">
        <f t="shared" si="6"/>
        <v>1</v>
      </c>
      <c r="G268" s="1"/>
      <c r="H268" s="1"/>
    </row>
    <row r="269" spans="1:8">
      <c r="A269" s="27" t="s">
        <v>262</v>
      </c>
      <c r="B269" s="7" t="s">
        <v>263</v>
      </c>
      <c r="C269" s="8"/>
      <c r="D269" s="9">
        <f>D270</f>
        <v>62500</v>
      </c>
      <c r="E269" s="9">
        <f>E270</f>
        <v>62500</v>
      </c>
      <c r="F269" s="69">
        <f t="shared" si="6"/>
        <v>1</v>
      </c>
      <c r="G269" s="1"/>
      <c r="H269" s="1"/>
    </row>
    <row r="270" spans="1:8" ht="22.5">
      <c r="A270" s="27" t="s">
        <v>92</v>
      </c>
      <c r="B270" s="7" t="s">
        <v>263</v>
      </c>
      <c r="C270" s="8" t="s">
        <v>93</v>
      </c>
      <c r="D270" s="9">
        <v>62500</v>
      </c>
      <c r="E270" s="9">
        <v>62500</v>
      </c>
      <c r="F270" s="69">
        <f t="shared" si="6"/>
        <v>1</v>
      </c>
      <c r="G270" s="1"/>
      <c r="H270" s="1"/>
    </row>
    <row r="271" spans="1:8">
      <c r="A271" s="27" t="s">
        <v>264</v>
      </c>
      <c r="B271" s="7" t="s">
        <v>265</v>
      </c>
      <c r="C271" s="8"/>
      <c r="D271" s="9">
        <f>D272</f>
        <v>6187500</v>
      </c>
      <c r="E271" s="9">
        <f>E272</f>
        <v>6187500</v>
      </c>
      <c r="F271" s="69">
        <f t="shared" si="6"/>
        <v>1</v>
      </c>
      <c r="G271" s="1"/>
      <c r="H271" s="1"/>
    </row>
    <row r="272" spans="1:8" ht="22.5">
      <c r="A272" s="27" t="s">
        <v>92</v>
      </c>
      <c r="B272" s="7" t="s">
        <v>265</v>
      </c>
      <c r="C272" s="8">
        <v>200</v>
      </c>
      <c r="D272" s="9">
        <v>6187500</v>
      </c>
      <c r="E272" s="9">
        <v>6187500</v>
      </c>
      <c r="F272" s="69">
        <f t="shared" si="6"/>
        <v>1</v>
      </c>
      <c r="G272" s="1"/>
      <c r="H272" s="1"/>
    </row>
    <row r="273" spans="1:8" ht="42">
      <c r="A273" s="13" t="s">
        <v>266</v>
      </c>
      <c r="B273" s="54" t="s">
        <v>267</v>
      </c>
      <c r="C273" s="37"/>
      <c r="D273" s="55">
        <f>D274+D299+D305+D313+D327</f>
        <v>44385193.449999988</v>
      </c>
      <c r="E273" s="55">
        <f>E274+E299+E305+E313+E327</f>
        <v>43656819.959999993</v>
      </c>
      <c r="F273" s="69">
        <f t="shared" si="6"/>
        <v>0.98358971915216487</v>
      </c>
      <c r="G273" s="1"/>
      <c r="H273" s="1"/>
    </row>
    <row r="274" spans="1:8" ht="22.5">
      <c r="A274" s="50" t="s">
        <v>268</v>
      </c>
      <c r="B274" s="51" t="s">
        <v>269</v>
      </c>
      <c r="C274" s="52"/>
      <c r="D274" s="44">
        <f>D275</f>
        <v>37331034.839999989</v>
      </c>
      <c r="E274" s="44">
        <f>E275</f>
        <v>36625661.349999994</v>
      </c>
      <c r="F274" s="69">
        <f t="shared" si="6"/>
        <v>0.98110490392181171</v>
      </c>
      <c r="G274" s="1"/>
      <c r="H274" s="1"/>
    </row>
    <row r="275" spans="1:8" ht="22.5">
      <c r="A275" s="30" t="s">
        <v>270</v>
      </c>
      <c r="B275" s="32" t="s">
        <v>271</v>
      </c>
      <c r="C275" s="32"/>
      <c r="D275" s="33">
        <f>D276+D280+D282+D284+D286+D288+D293+D295+D297+D291</f>
        <v>37331034.839999989</v>
      </c>
      <c r="E275" s="33">
        <f>E276+E280+E282+E284+E286+E288+E293+E295+E297+E291</f>
        <v>36625661.349999994</v>
      </c>
      <c r="F275" s="69">
        <f t="shared" si="6"/>
        <v>0.98110490392181171</v>
      </c>
      <c r="G275" s="1"/>
      <c r="H275" s="1"/>
    </row>
    <row r="276" spans="1:8" ht="22.5">
      <c r="A276" s="29" t="s">
        <v>272</v>
      </c>
      <c r="B276" s="6" t="s">
        <v>273</v>
      </c>
      <c r="C276" s="4"/>
      <c r="D276" s="5">
        <f>D277+D278+D279</f>
        <v>31191276.719999999</v>
      </c>
      <c r="E276" s="5">
        <f>E277+E278+E279</f>
        <v>30572732.869999997</v>
      </c>
      <c r="F276" s="69">
        <f t="shared" si="6"/>
        <v>0.98016933210036294</v>
      </c>
      <c r="G276" s="1"/>
      <c r="H276" s="1"/>
    </row>
    <row r="277" spans="1:8" ht="33.75">
      <c r="A277" s="29" t="s">
        <v>90</v>
      </c>
      <c r="B277" s="4" t="s">
        <v>273</v>
      </c>
      <c r="C277" s="4" t="s">
        <v>91</v>
      </c>
      <c r="D277" s="5">
        <f>1812385+12787357+1863380+4965885+2758825+5789+1237000-149712+268000+148132.08+168000+920000-28813-201023.59+180000+39060+170000-170000</f>
        <v>26774264.489999998</v>
      </c>
      <c r="E277" s="5">
        <v>26625411.16</v>
      </c>
      <c r="F277" s="69">
        <f t="shared" si="6"/>
        <v>0.99444043252595815</v>
      </c>
      <c r="G277" s="1"/>
      <c r="H277" s="1"/>
    </row>
    <row r="278" spans="1:8" ht="22.5">
      <c r="A278" s="29" t="s">
        <v>92</v>
      </c>
      <c r="B278" s="4" t="s">
        <v>273</v>
      </c>
      <c r="C278" s="4" t="s">
        <v>93</v>
      </c>
      <c r="D278" s="5">
        <f>2155705.88+212863.45+638078.58+300741.56+496906.76+170000+136760-9.15+15000+136691</f>
        <v>4262738.08</v>
      </c>
      <c r="E278" s="5">
        <v>3793047.56</v>
      </c>
      <c r="F278" s="69">
        <f t="shared" si="6"/>
        <v>0.88981483000241013</v>
      </c>
      <c r="G278" s="1"/>
      <c r="H278" s="1"/>
    </row>
    <row r="279" spans="1:8">
      <c r="A279" s="27" t="s">
        <v>104</v>
      </c>
      <c r="B279" s="8" t="s">
        <v>273</v>
      </c>
      <c r="C279" s="8" t="s">
        <v>105</v>
      </c>
      <c r="D279" s="5">
        <f>93000+3270+25400+9.15+32595</f>
        <v>154274.15</v>
      </c>
      <c r="E279" s="5">
        <f>93000+3270+25400+9.15+32595</f>
        <v>154274.15</v>
      </c>
      <c r="F279" s="69">
        <f t="shared" si="6"/>
        <v>1</v>
      </c>
      <c r="G279" s="1"/>
      <c r="H279" s="1"/>
    </row>
    <row r="280" spans="1:8" ht="22.5">
      <c r="A280" s="27" t="s">
        <v>274</v>
      </c>
      <c r="B280" s="7" t="s">
        <v>275</v>
      </c>
      <c r="C280" s="8"/>
      <c r="D280" s="5">
        <f>D281</f>
        <v>1966589</v>
      </c>
      <c r="E280" s="5">
        <f>E281</f>
        <v>1964392.12</v>
      </c>
      <c r="F280" s="69">
        <f t="shared" si="6"/>
        <v>0.99888289825682952</v>
      </c>
      <c r="G280" s="1"/>
      <c r="H280" s="1"/>
    </row>
    <row r="281" spans="1:8" ht="33.75">
      <c r="A281" s="27" t="s">
        <v>90</v>
      </c>
      <c r="B281" s="7" t="s">
        <v>275</v>
      </c>
      <c r="C281" s="8">
        <v>100</v>
      </c>
      <c r="D281" s="5">
        <f>1205384+343680+149712+202000+37000+28813</f>
        <v>1966589</v>
      </c>
      <c r="E281" s="5">
        <v>1964392.12</v>
      </c>
      <c r="F281" s="69">
        <f t="shared" si="6"/>
        <v>0.99888289825682952</v>
      </c>
      <c r="G281" s="1"/>
      <c r="H281" s="1"/>
    </row>
    <row r="282" spans="1:8" ht="22.5">
      <c r="A282" s="27" t="s">
        <v>276</v>
      </c>
      <c r="B282" s="7" t="s">
        <v>277</v>
      </c>
      <c r="C282" s="8"/>
      <c r="D282" s="9">
        <f>D283</f>
        <v>352940.88</v>
      </c>
      <c r="E282" s="9">
        <f>E283</f>
        <v>352940.88</v>
      </c>
      <c r="F282" s="69">
        <f t="shared" si="6"/>
        <v>1</v>
      </c>
      <c r="G282" s="1"/>
      <c r="H282" s="1"/>
    </row>
    <row r="283" spans="1:8" ht="22.5">
      <c r="A283" s="27" t="s">
        <v>92</v>
      </c>
      <c r="B283" s="7" t="s">
        <v>277</v>
      </c>
      <c r="C283" s="8">
        <v>200</v>
      </c>
      <c r="D283" s="9">
        <f>300000+120000-67059.12</f>
        <v>352940.88</v>
      </c>
      <c r="E283" s="9">
        <f>300000+120000-67059.12</f>
        <v>352940.88</v>
      </c>
      <c r="F283" s="69">
        <f t="shared" si="6"/>
        <v>1</v>
      </c>
      <c r="G283" s="1"/>
      <c r="H283" s="1"/>
    </row>
    <row r="284" spans="1:8" ht="33.75">
      <c r="A284" s="27" t="s">
        <v>278</v>
      </c>
      <c r="B284" s="8" t="s">
        <v>279</v>
      </c>
      <c r="C284" s="8"/>
      <c r="D284" s="9">
        <f>D285</f>
        <v>60000</v>
      </c>
      <c r="E284" s="9">
        <f>E285</f>
        <v>57440</v>
      </c>
      <c r="F284" s="69">
        <f t="shared" si="6"/>
        <v>0.95733333333333337</v>
      </c>
      <c r="G284" s="1"/>
      <c r="H284" s="1"/>
    </row>
    <row r="285" spans="1:8" ht="22.5">
      <c r="A285" s="27" t="s">
        <v>92</v>
      </c>
      <c r="B285" s="8" t="s">
        <v>279</v>
      </c>
      <c r="C285" s="8" t="s">
        <v>93</v>
      </c>
      <c r="D285" s="5">
        <f>30000+30000+28000+30000-28000-30000</f>
        <v>60000</v>
      </c>
      <c r="E285" s="5">
        <v>57440</v>
      </c>
      <c r="F285" s="69">
        <f t="shared" si="6"/>
        <v>0.95733333333333337</v>
      </c>
      <c r="G285" s="1"/>
      <c r="H285" s="1"/>
    </row>
    <row r="286" spans="1:8" ht="22.5">
      <c r="A286" s="27" t="s">
        <v>280</v>
      </c>
      <c r="B286" s="8" t="s">
        <v>281</v>
      </c>
      <c r="C286" s="8"/>
      <c r="D286" s="9">
        <f>D287</f>
        <v>203185.96000000002</v>
      </c>
      <c r="E286" s="9">
        <f>E287</f>
        <v>154970</v>
      </c>
      <c r="F286" s="69">
        <f t="shared" si="6"/>
        <v>0.76270033618464572</v>
      </c>
      <c r="G286" s="1"/>
      <c r="H286" s="1"/>
    </row>
    <row r="287" spans="1:8" ht="22.5">
      <c r="A287" s="27" t="s">
        <v>92</v>
      </c>
      <c r="B287" s="8" t="s">
        <v>281</v>
      </c>
      <c r="C287" s="8" t="s">
        <v>93</v>
      </c>
      <c r="D287" s="9">
        <f>300000-96814.04</f>
        <v>203185.96000000002</v>
      </c>
      <c r="E287" s="9">
        <v>154970</v>
      </c>
      <c r="F287" s="69">
        <f t="shared" si="6"/>
        <v>0.76270033618464572</v>
      </c>
      <c r="G287" s="1"/>
      <c r="H287" s="1"/>
    </row>
    <row r="288" spans="1:8" ht="33.75">
      <c r="A288" s="27" t="s">
        <v>283</v>
      </c>
      <c r="B288" s="8" t="s">
        <v>284</v>
      </c>
      <c r="C288" s="8"/>
      <c r="D288" s="9">
        <f>D289+D290</f>
        <v>56000</v>
      </c>
      <c r="E288" s="9">
        <f>E289+E290</f>
        <v>25300</v>
      </c>
      <c r="F288" s="69">
        <f t="shared" si="6"/>
        <v>0.45178571428571429</v>
      </c>
      <c r="G288" s="1"/>
      <c r="H288" s="1"/>
    </row>
    <row r="289" spans="1:8" ht="33.75">
      <c r="A289" s="27" t="s">
        <v>90</v>
      </c>
      <c r="B289" s="8" t="s">
        <v>284</v>
      </c>
      <c r="C289" s="8" t="s">
        <v>91</v>
      </c>
      <c r="D289" s="9">
        <f>23300+2000</f>
        <v>25300</v>
      </c>
      <c r="E289" s="9">
        <f>23300+2000</f>
        <v>25300</v>
      </c>
      <c r="F289" s="69">
        <f t="shared" si="6"/>
        <v>1</v>
      </c>
      <c r="G289" s="1"/>
      <c r="H289" s="1"/>
    </row>
    <row r="290" spans="1:8" ht="22.5">
      <c r="A290" s="27" t="s">
        <v>92</v>
      </c>
      <c r="B290" s="8" t="s">
        <v>284</v>
      </c>
      <c r="C290" s="8" t="s">
        <v>93</v>
      </c>
      <c r="D290" s="9">
        <v>30700</v>
      </c>
      <c r="E290" s="9">
        <v>0</v>
      </c>
      <c r="F290" s="69">
        <f t="shared" si="6"/>
        <v>0</v>
      </c>
      <c r="G290" s="1"/>
      <c r="H290" s="1"/>
    </row>
    <row r="291" spans="1:8">
      <c r="A291" s="22" t="s">
        <v>282</v>
      </c>
      <c r="B291" s="23" t="s">
        <v>401</v>
      </c>
      <c r="C291" s="26"/>
      <c r="D291" s="25">
        <f>D292</f>
        <v>2742719.48</v>
      </c>
      <c r="E291" s="25">
        <f>E292</f>
        <v>2742719.48</v>
      </c>
      <c r="F291" s="69">
        <f t="shared" si="6"/>
        <v>1</v>
      </c>
      <c r="G291" s="1"/>
      <c r="H291" s="1"/>
    </row>
    <row r="292" spans="1:8">
      <c r="A292" s="22" t="s">
        <v>104</v>
      </c>
      <c r="B292" s="23" t="s">
        <v>401</v>
      </c>
      <c r="C292" s="26">
        <v>800</v>
      </c>
      <c r="D292" s="25">
        <f>2203869.48+538850</f>
        <v>2742719.48</v>
      </c>
      <c r="E292" s="25">
        <f>2203869.48+538850</f>
        <v>2742719.48</v>
      </c>
      <c r="F292" s="69">
        <f t="shared" si="6"/>
        <v>1</v>
      </c>
      <c r="G292" s="1"/>
      <c r="H292" s="1"/>
    </row>
    <row r="293" spans="1:8" ht="22.5">
      <c r="A293" s="27" t="s">
        <v>285</v>
      </c>
      <c r="B293" s="8" t="s">
        <v>286</v>
      </c>
      <c r="C293" s="8"/>
      <c r="D293" s="9">
        <f>D294</f>
        <v>255166</v>
      </c>
      <c r="E293" s="9">
        <f>E294</f>
        <v>255166</v>
      </c>
      <c r="F293" s="69">
        <f t="shared" si="6"/>
        <v>1</v>
      </c>
      <c r="G293" s="1"/>
      <c r="H293" s="1"/>
    </row>
    <row r="294" spans="1:8">
      <c r="A294" s="29" t="s">
        <v>110</v>
      </c>
      <c r="B294" s="4" t="s">
        <v>286</v>
      </c>
      <c r="C294" s="4" t="s">
        <v>229</v>
      </c>
      <c r="D294" s="5">
        <f>220209+34589+368</f>
        <v>255166</v>
      </c>
      <c r="E294" s="5">
        <f>220209+34589+368</f>
        <v>255166</v>
      </c>
      <c r="F294" s="69">
        <f t="shared" si="6"/>
        <v>1</v>
      </c>
      <c r="G294" s="1"/>
      <c r="H294" s="1"/>
    </row>
    <row r="295" spans="1:8" ht="33.75">
      <c r="A295" s="27" t="s">
        <v>287</v>
      </c>
      <c r="B295" s="7" t="s">
        <v>288</v>
      </c>
      <c r="C295" s="8"/>
      <c r="D295" s="9">
        <f>D296</f>
        <v>3156.8</v>
      </c>
      <c r="E295" s="9">
        <f>E296</f>
        <v>0</v>
      </c>
      <c r="F295" s="69">
        <f t="shared" si="6"/>
        <v>0</v>
      </c>
      <c r="G295" s="1"/>
      <c r="H295" s="1"/>
    </row>
    <row r="296" spans="1:8" ht="22.5">
      <c r="A296" s="27" t="s">
        <v>92</v>
      </c>
      <c r="B296" s="7" t="s">
        <v>288</v>
      </c>
      <c r="C296" s="8">
        <v>200</v>
      </c>
      <c r="D296" s="5">
        <f>1047.73+1952.27+156.8</f>
        <v>3156.8</v>
      </c>
      <c r="E296" s="5">
        <v>0</v>
      </c>
      <c r="F296" s="69">
        <f t="shared" ref="F296:F351" si="8">E296/D296</f>
        <v>0</v>
      </c>
      <c r="G296" s="1"/>
      <c r="H296" s="1"/>
    </row>
    <row r="297" spans="1:8" ht="22.5">
      <c r="A297" s="22" t="s">
        <v>399</v>
      </c>
      <c r="B297" s="23" t="s">
        <v>400</v>
      </c>
      <c r="C297" s="26"/>
      <c r="D297" s="34">
        <f t="shared" ref="D297:E297" si="9">D298</f>
        <v>500000</v>
      </c>
      <c r="E297" s="34">
        <f t="shared" si="9"/>
        <v>500000</v>
      </c>
      <c r="F297" s="69">
        <f t="shared" si="8"/>
        <v>1</v>
      </c>
      <c r="G297" s="1"/>
      <c r="H297" s="1"/>
    </row>
    <row r="298" spans="1:8" ht="33.75">
      <c r="A298" s="22" t="s">
        <v>90</v>
      </c>
      <c r="B298" s="23" t="s">
        <v>400</v>
      </c>
      <c r="C298" s="26">
        <v>100</v>
      </c>
      <c r="D298" s="34">
        <v>500000</v>
      </c>
      <c r="E298" s="34">
        <v>500000</v>
      </c>
      <c r="F298" s="69">
        <f t="shared" si="8"/>
        <v>1</v>
      </c>
      <c r="G298" s="1"/>
      <c r="H298" s="1"/>
    </row>
    <row r="299" spans="1:8" ht="22.5">
      <c r="A299" s="16" t="s">
        <v>289</v>
      </c>
      <c r="B299" s="17" t="s">
        <v>290</v>
      </c>
      <c r="C299" s="17"/>
      <c r="D299" s="18">
        <f>D300</f>
        <v>26000</v>
      </c>
      <c r="E299" s="18">
        <f>E300</f>
        <v>8000</v>
      </c>
      <c r="F299" s="69">
        <f t="shared" si="8"/>
        <v>0.30769230769230771</v>
      </c>
      <c r="G299" s="1"/>
      <c r="H299" s="1"/>
    </row>
    <row r="300" spans="1:8" ht="22.5">
      <c r="A300" s="19" t="s">
        <v>291</v>
      </c>
      <c r="B300" s="20" t="s">
        <v>292</v>
      </c>
      <c r="C300" s="20"/>
      <c r="D300" s="21">
        <f>D303+D301</f>
        <v>26000</v>
      </c>
      <c r="E300" s="21">
        <f>E303+E301</f>
        <v>8000</v>
      </c>
      <c r="F300" s="69">
        <f t="shared" si="8"/>
        <v>0.30769230769230771</v>
      </c>
      <c r="G300" s="1"/>
      <c r="H300" s="1"/>
    </row>
    <row r="301" spans="1:8" ht="22.5">
      <c r="A301" s="56" t="s">
        <v>293</v>
      </c>
      <c r="B301" s="7" t="s">
        <v>294</v>
      </c>
      <c r="C301" s="4"/>
      <c r="D301" s="5">
        <f>D302</f>
        <v>25000</v>
      </c>
      <c r="E301" s="5">
        <f>E302</f>
        <v>8000</v>
      </c>
      <c r="F301" s="69">
        <f t="shared" si="8"/>
        <v>0.32</v>
      </c>
      <c r="G301" s="1"/>
      <c r="H301" s="1"/>
    </row>
    <row r="302" spans="1:8" ht="22.5">
      <c r="A302" s="29" t="s">
        <v>92</v>
      </c>
      <c r="B302" s="7" t="s">
        <v>294</v>
      </c>
      <c r="C302" s="4">
        <v>200</v>
      </c>
      <c r="D302" s="5">
        <v>25000</v>
      </c>
      <c r="E302" s="5">
        <v>8000</v>
      </c>
      <c r="F302" s="69">
        <f t="shared" si="8"/>
        <v>0.32</v>
      </c>
      <c r="G302" s="1"/>
      <c r="H302" s="1"/>
    </row>
    <row r="303" spans="1:8" ht="33.75">
      <c r="A303" s="27" t="s">
        <v>295</v>
      </c>
      <c r="B303" s="8" t="s">
        <v>296</v>
      </c>
      <c r="C303" s="8"/>
      <c r="D303" s="9">
        <f>D304</f>
        <v>1000</v>
      </c>
      <c r="E303" s="9">
        <f>E304</f>
        <v>0</v>
      </c>
      <c r="F303" s="69">
        <f t="shared" si="8"/>
        <v>0</v>
      </c>
      <c r="G303" s="1"/>
      <c r="H303" s="1"/>
    </row>
    <row r="304" spans="1:8" ht="22.5">
      <c r="A304" s="27" t="s">
        <v>92</v>
      </c>
      <c r="B304" s="8" t="s">
        <v>296</v>
      </c>
      <c r="C304" s="8" t="s">
        <v>93</v>
      </c>
      <c r="D304" s="9">
        <v>1000</v>
      </c>
      <c r="E304" s="9">
        <v>0</v>
      </c>
      <c r="F304" s="69">
        <f t="shared" si="8"/>
        <v>0</v>
      </c>
      <c r="G304" s="1"/>
      <c r="H304" s="1"/>
    </row>
    <row r="305" spans="1:8" ht="22.5">
      <c r="A305" s="16" t="s">
        <v>297</v>
      </c>
      <c r="B305" s="17" t="s">
        <v>298</v>
      </c>
      <c r="C305" s="17"/>
      <c r="D305" s="18">
        <f>D306</f>
        <v>4300575.76</v>
      </c>
      <c r="E305" s="18">
        <f>E306</f>
        <v>4300575.76</v>
      </c>
      <c r="F305" s="69">
        <f t="shared" si="8"/>
        <v>1</v>
      </c>
      <c r="G305" s="1"/>
      <c r="H305" s="1"/>
    </row>
    <row r="306" spans="1:8" ht="22.5">
      <c r="A306" s="19" t="s">
        <v>299</v>
      </c>
      <c r="B306" s="20" t="s">
        <v>300</v>
      </c>
      <c r="C306" s="20"/>
      <c r="D306" s="21">
        <f>D307+D309+D311</f>
        <v>4300575.76</v>
      </c>
      <c r="E306" s="21">
        <f>E307+E309+E311</f>
        <v>4300575.76</v>
      </c>
      <c r="F306" s="69">
        <f t="shared" si="8"/>
        <v>1</v>
      </c>
      <c r="G306" s="1"/>
      <c r="H306" s="1"/>
    </row>
    <row r="307" spans="1:8" ht="22.5">
      <c r="A307" s="27" t="s">
        <v>301</v>
      </c>
      <c r="B307" s="6" t="s">
        <v>302</v>
      </c>
      <c r="C307" s="8"/>
      <c r="D307" s="9">
        <f>D308</f>
        <v>40575.760000000002</v>
      </c>
      <c r="E307" s="9">
        <f>E308</f>
        <v>40575.760000000002</v>
      </c>
      <c r="F307" s="69">
        <f t="shared" si="8"/>
        <v>1</v>
      </c>
      <c r="G307" s="1"/>
      <c r="H307" s="1"/>
    </row>
    <row r="308" spans="1:8">
      <c r="A308" s="29" t="s">
        <v>110</v>
      </c>
      <c r="B308" s="6" t="s">
        <v>302</v>
      </c>
      <c r="C308" s="4" t="s">
        <v>229</v>
      </c>
      <c r="D308" s="5">
        <v>40575.760000000002</v>
      </c>
      <c r="E308" s="5">
        <v>40575.760000000002</v>
      </c>
      <c r="F308" s="69">
        <f t="shared" si="8"/>
        <v>1</v>
      </c>
      <c r="G308" s="1"/>
      <c r="H308" s="1"/>
    </row>
    <row r="309" spans="1:8" ht="22.5">
      <c r="A309" s="27" t="s">
        <v>303</v>
      </c>
      <c r="B309" s="8" t="s">
        <v>304</v>
      </c>
      <c r="C309" s="8"/>
      <c r="D309" s="9">
        <f>D310</f>
        <v>4017000</v>
      </c>
      <c r="E309" s="9">
        <f>E310</f>
        <v>4017000</v>
      </c>
      <c r="F309" s="69">
        <f t="shared" si="8"/>
        <v>1</v>
      </c>
      <c r="G309" s="1"/>
      <c r="H309" s="1"/>
    </row>
    <row r="310" spans="1:8">
      <c r="A310" s="29" t="s">
        <v>110</v>
      </c>
      <c r="B310" s="4" t="s">
        <v>304</v>
      </c>
      <c r="C310" s="4" t="s">
        <v>229</v>
      </c>
      <c r="D310" s="5">
        <v>4017000</v>
      </c>
      <c r="E310" s="5">
        <v>4017000</v>
      </c>
      <c r="F310" s="69">
        <f t="shared" si="8"/>
        <v>1</v>
      </c>
      <c r="G310" s="1"/>
      <c r="H310" s="1"/>
    </row>
    <row r="311" spans="1:8" ht="22.5">
      <c r="A311" s="27" t="s">
        <v>305</v>
      </c>
      <c r="B311" s="8" t="s">
        <v>306</v>
      </c>
      <c r="C311" s="8"/>
      <c r="D311" s="9">
        <f>D312</f>
        <v>243000</v>
      </c>
      <c r="E311" s="9">
        <f>E312</f>
        <v>243000</v>
      </c>
      <c r="F311" s="69">
        <f t="shared" si="8"/>
        <v>1</v>
      </c>
      <c r="G311" s="1"/>
      <c r="H311" s="1"/>
    </row>
    <row r="312" spans="1:8">
      <c r="A312" s="27" t="s">
        <v>110</v>
      </c>
      <c r="B312" s="8" t="s">
        <v>306</v>
      </c>
      <c r="C312" s="8" t="s">
        <v>229</v>
      </c>
      <c r="D312" s="9">
        <v>243000</v>
      </c>
      <c r="E312" s="9">
        <v>243000</v>
      </c>
      <c r="F312" s="69">
        <f t="shared" si="8"/>
        <v>1</v>
      </c>
      <c r="G312" s="1"/>
      <c r="H312" s="1"/>
    </row>
    <row r="313" spans="1:8" ht="22.5">
      <c r="A313" s="16" t="s">
        <v>307</v>
      </c>
      <c r="B313" s="17" t="s">
        <v>308</v>
      </c>
      <c r="C313" s="17"/>
      <c r="D313" s="18">
        <f>D314</f>
        <v>2617692.85</v>
      </c>
      <c r="E313" s="18">
        <f>E314</f>
        <v>2612692.85</v>
      </c>
      <c r="F313" s="69">
        <f t="shared" si="8"/>
        <v>0.99808992105395411</v>
      </c>
      <c r="G313" s="1"/>
      <c r="H313" s="1"/>
    </row>
    <row r="314" spans="1:8" ht="22.5">
      <c r="A314" s="19" t="s">
        <v>309</v>
      </c>
      <c r="B314" s="20" t="s">
        <v>310</v>
      </c>
      <c r="C314" s="20"/>
      <c r="D314" s="21">
        <f>D317+D319+D325+D321+D323+D315</f>
        <v>2617692.85</v>
      </c>
      <c r="E314" s="21">
        <f>E317+E319+E325+E321+E323+E315</f>
        <v>2612692.85</v>
      </c>
      <c r="F314" s="69">
        <f t="shared" si="8"/>
        <v>0.99808992105395411</v>
      </c>
      <c r="G314" s="1"/>
      <c r="H314" s="1"/>
    </row>
    <row r="315" spans="1:8" ht="22.5">
      <c r="A315" s="57" t="s">
        <v>393</v>
      </c>
      <c r="B315" s="58" t="s">
        <v>394</v>
      </c>
      <c r="C315" s="59"/>
      <c r="D315" s="60">
        <f>D316</f>
        <v>684632.35</v>
      </c>
      <c r="E315" s="60">
        <f>E316</f>
        <v>684632.35</v>
      </c>
      <c r="F315" s="69">
        <f t="shared" si="8"/>
        <v>1</v>
      </c>
      <c r="G315" s="1"/>
      <c r="H315" s="1"/>
    </row>
    <row r="316" spans="1:8" ht="22.5">
      <c r="A316" s="57" t="s">
        <v>92</v>
      </c>
      <c r="B316" s="58" t="s">
        <v>394</v>
      </c>
      <c r="C316" s="59">
        <v>200</v>
      </c>
      <c r="D316" s="60">
        <f>101442.29+193466.36+96420.46+114936.51+89483.27+88883.46</f>
        <v>684632.35</v>
      </c>
      <c r="E316" s="60">
        <f>101442.29+193466.36+96420.46+114936.51+89483.27+88883.46</f>
        <v>684632.35</v>
      </c>
      <c r="F316" s="69">
        <f t="shared" si="8"/>
        <v>1</v>
      </c>
      <c r="G316" s="1"/>
      <c r="H316" s="1"/>
    </row>
    <row r="317" spans="1:8">
      <c r="A317" s="27" t="s">
        <v>311</v>
      </c>
      <c r="B317" s="8" t="s">
        <v>312</v>
      </c>
      <c r="C317" s="8"/>
      <c r="D317" s="9">
        <f>D318</f>
        <v>1572760.5</v>
      </c>
      <c r="E317" s="9">
        <f>E318</f>
        <v>1572760.5</v>
      </c>
      <c r="F317" s="69">
        <f t="shared" si="8"/>
        <v>1</v>
      </c>
      <c r="G317" s="1"/>
      <c r="H317" s="1"/>
    </row>
    <row r="318" spans="1:8">
      <c r="A318" s="29" t="s">
        <v>22</v>
      </c>
      <c r="B318" s="6" t="s">
        <v>312</v>
      </c>
      <c r="C318" s="4" t="s">
        <v>23</v>
      </c>
      <c r="D318" s="5">
        <f>1627000-54239.5</f>
        <v>1572760.5</v>
      </c>
      <c r="E318" s="5">
        <f>1627000-54239.5</f>
        <v>1572760.5</v>
      </c>
      <c r="F318" s="69">
        <f t="shared" si="8"/>
        <v>1</v>
      </c>
      <c r="G318" s="1"/>
      <c r="H318" s="1"/>
    </row>
    <row r="319" spans="1:8">
      <c r="A319" s="27" t="s">
        <v>313</v>
      </c>
      <c r="B319" s="7" t="s">
        <v>314</v>
      </c>
      <c r="C319" s="8"/>
      <c r="D319" s="9">
        <f>D320</f>
        <v>10000</v>
      </c>
      <c r="E319" s="9">
        <f>E320</f>
        <v>5000</v>
      </c>
      <c r="F319" s="69">
        <f t="shared" si="8"/>
        <v>0.5</v>
      </c>
      <c r="G319" s="1"/>
      <c r="H319" s="1"/>
    </row>
    <row r="320" spans="1:8">
      <c r="A320" s="27" t="s">
        <v>22</v>
      </c>
      <c r="B320" s="8" t="s">
        <v>314</v>
      </c>
      <c r="C320" s="8" t="s">
        <v>23</v>
      </c>
      <c r="D320" s="9">
        <v>10000</v>
      </c>
      <c r="E320" s="9">
        <v>5000</v>
      </c>
      <c r="F320" s="69">
        <f t="shared" si="8"/>
        <v>0.5</v>
      </c>
      <c r="G320" s="1"/>
      <c r="H320" s="1"/>
    </row>
    <row r="321" spans="1:8">
      <c r="A321" s="27" t="s">
        <v>315</v>
      </c>
      <c r="B321" s="8" t="s">
        <v>316</v>
      </c>
      <c r="C321" s="8"/>
      <c r="D321" s="9">
        <f>D322</f>
        <v>20000</v>
      </c>
      <c r="E321" s="9">
        <f>E322</f>
        <v>20000</v>
      </c>
      <c r="F321" s="69">
        <f t="shared" si="8"/>
        <v>1</v>
      </c>
      <c r="G321" s="1"/>
      <c r="H321" s="1"/>
    </row>
    <row r="322" spans="1:8">
      <c r="A322" s="27" t="s">
        <v>104</v>
      </c>
      <c r="B322" s="8" t="s">
        <v>316</v>
      </c>
      <c r="C322" s="8" t="s">
        <v>105</v>
      </c>
      <c r="D322" s="9">
        <v>20000</v>
      </c>
      <c r="E322" s="9">
        <v>20000</v>
      </c>
      <c r="F322" s="69">
        <f t="shared" si="8"/>
        <v>1</v>
      </c>
      <c r="G322" s="1"/>
      <c r="H322" s="1"/>
    </row>
    <row r="323" spans="1:8">
      <c r="A323" s="61" t="s">
        <v>391</v>
      </c>
      <c r="B323" s="62" t="s">
        <v>392</v>
      </c>
      <c r="C323" s="61"/>
      <c r="D323" s="60">
        <f>D324</f>
        <v>277500</v>
      </c>
      <c r="E323" s="60">
        <f>E324</f>
        <v>277500</v>
      </c>
      <c r="F323" s="69">
        <f t="shared" si="8"/>
        <v>1</v>
      </c>
      <c r="G323" s="1"/>
      <c r="H323" s="1"/>
    </row>
    <row r="324" spans="1:8">
      <c r="A324" s="57" t="s">
        <v>110</v>
      </c>
      <c r="B324" s="62" t="s">
        <v>392</v>
      </c>
      <c r="C324" s="59">
        <v>500</v>
      </c>
      <c r="D324" s="60">
        <v>277500</v>
      </c>
      <c r="E324" s="60">
        <v>277500</v>
      </c>
      <c r="F324" s="69">
        <f t="shared" si="8"/>
        <v>1</v>
      </c>
      <c r="G324" s="1"/>
      <c r="H324" s="1"/>
    </row>
    <row r="325" spans="1:8" ht="45">
      <c r="A325" s="27" t="s">
        <v>317</v>
      </c>
      <c r="B325" s="8" t="s">
        <v>318</v>
      </c>
      <c r="C325" s="8"/>
      <c r="D325" s="9">
        <f>D326</f>
        <v>52800</v>
      </c>
      <c r="E325" s="9">
        <f>E326</f>
        <v>52800</v>
      </c>
      <c r="F325" s="69">
        <f t="shared" si="8"/>
        <v>1</v>
      </c>
      <c r="G325" s="1"/>
      <c r="H325" s="1"/>
    </row>
    <row r="326" spans="1:8">
      <c r="A326" s="27" t="s">
        <v>22</v>
      </c>
      <c r="B326" s="8" t="s">
        <v>318</v>
      </c>
      <c r="C326" s="8" t="s">
        <v>23</v>
      </c>
      <c r="D326" s="9">
        <v>52800</v>
      </c>
      <c r="E326" s="9">
        <v>52800</v>
      </c>
      <c r="F326" s="69">
        <f t="shared" si="8"/>
        <v>1</v>
      </c>
      <c r="G326" s="1"/>
      <c r="H326" s="1"/>
    </row>
    <row r="327" spans="1:8" ht="22.5">
      <c r="A327" s="63" t="s">
        <v>319</v>
      </c>
      <c r="B327" s="51" t="s">
        <v>320</v>
      </c>
      <c r="C327" s="52"/>
      <c r="D327" s="18">
        <f>D328</f>
        <v>109890</v>
      </c>
      <c r="E327" s="18">
        <f>E328</f>
        <v>109890</v>
      </c>
      <c r="F327" s="69">
        <f t="shared" si="8"/>
        <v>1</v>
      </c>
      <c r="G327" s="1"/>
      <c r="H327" s="1"/>
    </row>
    <row r="328" spans="1:8" ht="22.5">
      <c r="A328" s="64" t="s">
        <v>321</v>
      </c>
      <c r="B328" s="31" t="s">
        <v>322</v>
      </c>
      <c r="C328" s="32"/>
      <c r="D328" s="21">
        <f>D329+D331</f>
        <v>109890</v>
      </c>
      <c r="E328" s="21">
        <f>E329+E331</f>
        <v>109890</v>
      </c>
      <c r="F328" s="69">
        <f t="shared" si="8"/>
        <v>1</v>
      </c>
      <c r="G328" s="1"/>
      <c r="H328" s="1"/>
    </row>
    <row r="329" spans="1:8">
      <c r="A329" s="65" t="s">
        <v>323</v>
      </c>
      <c r="B329" s="6" t="s">
        <v>324</v>
      </c>
      <c r="C329" s="4"/>
      <c r="D329" s="9">
        <f>D330</f>
        <v>100000</v>
      </c>
      <c r="E329" s="9">
        <f>E330</f>
        <v>100000</v>
      </c>
      <c r="F329" s="69">
        <f t="shared" si="8"/>
        <v>1</v>
      </c>
      <c r="G329" s="1"/>
      <c r="H329" s="1"/>
    </row>
    <row r="330" spans="1:8" ht="22.5">
      <c r="A330" s="29" t="s">
        <v>92</v>
      </c>
      <c r="B330" s="6" t="s">
        <v>324</v>
      </c>
      <c r="C330" s="4">
        <v>200</v>
      </c>
      <c r="D330" s="9">
        <v>100000</v>
      </c>
      <c r="E330" s="9">
        <v>100000</v>
      </c>
      <c r="F330" s="69">
        <f t="shared" si="8"/>
        <v>1</v>
      </c>
      <c r="G330" s="1"/>
      <c r="H330" s="1"/>
    </row>
    <row r="331" spans="1:8" ht="22.5">
      <c r="A331" s="68" t="s">
        <v>404</v>
      </c>
      <c r="B331" s="23" t="s">
        <v>405</v>
      </c>
      <c r="C331" s="4"/>
      <c r="D331" s="9">
        <f>D332</f>
        <v>9890</v>
      </c>
      <c r="E331" s="9">
        <f>E332</f>
        <v>9890</v>
      </c>
      <c r="F331" s="69">
        <f t="shared" si="8"/>
        <v>1</v>
      </c>
      <c r="G331" s="1"/>
      <c r="H331" s="1"/>
    </row>
    <row r="332" spans="1:8" ht="22.5">
      <c r="A332" s="29" t="s">
        <v>92</v>
      </c>
      <c r="B332" s="23" t="s">
        <v>405</v>
      </c>
      <c r="C332" s="4">
        <v>200</v>
      </c>
      <c r="D332" s="9">
        <v>9890</v>
      </c>
      <c r="E332" s="9">
        <v>9890</v>
      </c>
      <c r="F332" s="69">
        <f t="shared" si="8"/>
        <v>1</v>
      </c>
      <c r="G332" s="1"/>
      <c r="H332" s="1"/>
    </row>
    <row r="333" spans="1:8" ht="25.5" customHeight="1">
      <c r="A333" s="13" t="s">
        <v>325</v>
      </c>
      <c r="B333" s="54" t="s">
        <v>326</v>
      </c>
      <c r="C333" s="37"/>
      <c r="D333" s="9">
        <f t="shared" ref="D333:E336" si="10">D334</f>
        <v>2634809.7600000002</v>
      </c>
      <c r="E333" s="9">
        <f t="shared" si="10"/>
        <v>2634809.7600000002</v>
      </c>
      <c r="F333" s="69">
        <f t="shared" si="8"/>
        <v>1</v>
      </c>
      <c r="G333" s="1"/>
      <c r="H333" s="1"/>
    </row>
    <row r="334" spans="1:8" ht="25.5" customHeight="1">
      <c r="A334" s="16" t="s">
        <v>327</v>
      </c>
      <c r="B334" s="51" t="s">
        <v>328</v>
      </c>
      <c r="C334" s="32"/>
      <c r="D334" s="9">
        <f t="shared" si="10"/>
        <v>2634809.7600000002</v>
      </c>
      <c r="E334" s="9">
        <f t="shared" si="10"/>
        <v>2634809.7600000002</v>
      </c>
      <c r="F334" s="69">
        <f t="shared" si="8"/>
        <v>1</v>
      </c>
      <c r="G334" s="1"/>
      <c r="H334" s="1"/>
    </row>
    <row r="335" spans="1:8" ht="25.5" customHeight="1">
      <c r="A335" s="19" t="s">
        <v>329</v>
      </c>
      <c r="B335" s="53" t="s">
        <v>330</v>
      </c>
      <c r="C335" s="32"/>
      <c r="D335" s="21">
        <f t="shared" si="10"/>
        <v>2634809.7600000002</v>
      </c>
      <c r="E335" s="21">
        <f t="shared" si="10"/>
        <v>2634809.7600000002</v>
      </c>
      <c r="F335" s="69">
        <f t="shared" si="8"/>
        <v>1</v>
      </c>
      <c r="G335" s="1"/>
      <c r="H335" s="1"/>
    </row>
    <row r="336" spans="1:8" ht="25.5" customHeight="1">
      <c r="A336" s="27" t="s">
        <v>331</v>
      </c>
      <c r="B336" s="7" t="s">
        <v>332</v>
      </c>
      <c r="C336" s="4"/>
      <c r="D336" s="9">
        <f t="shared" si="10"/>
        <v>2634809.7600000002</v>
      </c>
      <c r="E336" s="9">
        <f t="shared" si="10"/>
        <v>2634809.7600000002</v>
      </c>
      <c r="F336" s="69">
        <f t="shared" si="8"/>
        <v>1</v>
      </c>
      <c r="G336" s="1"/>
      <c r="H336" s="1"/>
    </row>
    <row r="337" spans="1:8" ht="25.5" customHeight="1">
      <c r="A337" s="29" t="s">
        <v>92</v>
      </c>
      <c r="B337" s="7" t="s">
        <v>332</v>
      </c>
      <c r="C337" s="32">
        <v>200</v>
      </c>
      <c r="D337" s="5">
        <f>3030000+3033.03-516000-516.51-144.15+118437.39</f>
        <v>2634809.7600000002</v>
      </c>
      <c r="E337" s="5">
        <f>3030000+3033.03-516000-516.51-144.15+118437.39</f>
        <v>2634809.7600000002</v>
      </c>
      <c r="F337" s="69">
        <f t="shared" si="8"/>
        <v>1</v>
      </c>
      <c r="G337" s="1"/>
      <c r="H337" s="1"/>
    </row>
    <row r="338" spans="1:8">
      <c r="A338" s="13" t="s">
        <v>333</v>
      </c>
      <c r="B338" s="12" t="s">
        <v>334</v>
      </c>
      <c r="C338" s="12"/>
      <c r="D338" s="15">
        <f>D339+D341+D343+D345+D348</f>
        <v>1344476.3699999992</v>
      </c>
      <c r="E338" s="15">
        <f>E339+E341+E343+E345+E348</f>
        <v>933320.22000000009</v>
      </c>
      <c r="F338" s="69">
        <f t="shared" si="8"/>
        <v>0.69418863791559282</v>
      </c>
      <c r="G338" s="1"/>
      <c r="H338" s="1"/>
    </row>
    <row r="339" spans="1:8" ht="22.5">
      <c r="A339" s="29" t="s">
        <v>335</v>
      </c>
      <c r="B339" s="4" t="s">
        <v>336</v>
      </c>
      <c r="C339" s="4"/>
      <c r="D339" s="5">
        <f>D340</f>
        <v>397266.83999999909</v>
      </c>
      <c r="E339" s="5">
        <f>E340</f>
        <v>0</v>
      </c>
      <c r="F339" s="69">
        <f t="shared" si="8"/>
        <v>0</v>
      </c>
      <c r="G339" s="1"/>
      <c r="H339" s="1"/>
    </row>
    <row r="340" spans="1:8" s="66" customFormat="1">
      <c r="A340" s="29" t="s">
        <v>104</v>
      </c>
      <c r="B340" s="6">
        <v>9090020001</v>
      </c>
      <c r="C340" s="4" t="s">
        <v>105</v>
      </c>
      <c r="D340" s="9">
        <f>267940+340150.43+3390000-200000-36900+516.51-4081.21-3292.93+1235957.45-610051.25-146906.76-3926222.18-1400+60317.72+193466.36-96420.46+96420.46-114936.51-121297.37+114936.51-89483.27+89483.27-88883.46+104120.82+88883.46-217443.33+72392.58</f>
        <v>397266.83999999909</v>
      </c>
      <c r="E340" s="9">
        <v>0</v>
      </c>
      <c r="F340" s="69">
        <f t="shared" si="8"/>
        <v>0</v>
      </c>
      <c r="G340" s="10"/>
      <c r="H340" s="10"/>
    </row>
    <row r="341" spans="1:8">
      <c r="A341" s="27" t="s">
        <v>337</v>
      </c>
      <c r="B341" s="8" t="s">
        <v>338</v>
      </c>
      <c r="C341" s="8"/>
      <c r="D341" s="9">
        <f>D342</f>
        <v>45500</v>
      </c>
      <c r="E341" s="9">
        <f>E342</f>
        <v>45500</v>
      </c>
      <c r="F341" s="69">
        <f t="shared" si="8"/>
        <v>1</v>
      </c>
      <c r="G341" s="1"/>
      <c r="H341" s="1"/>
    </row>
    <row r="342" spans="1:8">
      <c r="A342" s="27" t="s">
        <v>104</v>
      </c>
      <c r="B342" s="8" t="s">
        <v>338</v>
      </c>
      <c r="C342" s="8" t="s">
        <v>105</v>
      </c>
      <c r="D342" s="9">
        <v>45500</v>
      </c>
      <c r="E342" s="9">
        <v>45500</v>
      </c>
      <c r="F342" s="69">
        <f t="shared" si="8"/>
        <v>1</v>
      </c>
      <c r="G342" s="1"/>
      <c r="H342" s="1"/>
    </row>
    <row r="343" spans="1:8">
      <c r="A343" s="27" t="s">
        <v>339</v>
      </c>
      <c r="B343" s="7" t="s">
        <v>340</v>
      </c>
      <c r="C343" s="8"/>
      <c r="D343" s="9">
        <f>D344</f>
        <v>2600</v>
      </c>
      <c r="E343" s="9">
        <f>E344</f>
        <v>2587.4299999999998</v>
      </c>
      <c r="F343" s="69">
        <f t="shared" si="8"/>
        <v>0.99516538461538451</v>
      </c>
      <c r="G343" s="1"/>
      <c r="H343" s="1"/>
    </row>
    <row r="344" spans="1:8">
      <c r="A344" s="27" t="s">
        <v>341</v>
      </c>
      <c r="B344" s="7" t="s">
        <v>340</v>
      </c>
      <c r="C344" s="8">
        <v>700</v>
      </c>
      <c r="D344" s="9">
        <f>1200+1400</f>
        <v>2600</v>
      </c>
      <c r="E344" s="9">
        <v>2587.4299999999998</v>
      </c>
      <c r="F344" s="69">
        <f t="shared" si="8"/>
        <v>0.99516538461538451</v>
      </c>
      <c r="G344" s="1"/>
      <c r="H344" s="1"/>
    </row>
    <row r="345" spans="1:8">
      <c r="A345" s="27" t="s">
        <v>342</v>
      </c>
      <c r="B345" s="8" t="s">
        <v>343</v>
      </c>
      <c r="C345" s="8"/>
      <c r="D345" s="9">
        <f>D346+D347</f>
        <v>10000</v>
      </c>
      <c r="E345" s="9">
        <f>E346+E347</f>
        <v>6900</v>
      </c>
      <c r="F345" s="69">
        <f t="shared" si="8"/>
        <v>0.69</v>
      </c>
      <c r="G345" s="1"/>
      <c r="H345" s="1"/>
    </row>
    <row r="346" spans="1:8" ht="33.75">
      <c r="A346" s="27" t="s">
        <v>90</v>
      </c>
      <c r="B346" s="8" t="s">
        <v>343</v>
      </c>
      <c r="C346" s="8" t="s">
        <v>91</v>
      </c>
      <c r="D346" s="5">
        <v>3000</v>
      </c>
      <c r="E346" s="5">
        <v>0</v>
      </c>
      <c r="F346" s="69">
        <f t="shared" si="8"/>
        <v>0</v>
      </c>
      <c r="G346" s="1"/>
      <c r="H346" s="1"/>
    </row>
    <row r="347" spans="1:8" ht="22.5">
      <c r="A347" s="29" t="s">
        <v>92</v>
      </c>
      <c r="B347" s="6">
        <v>9090300900</v>
      </c>
      <c r="C347" s="4">
        <v>200</v>
      </c>
      <c r="D347" s="5">
        <v>7000</v>
      </c>
      <c r="E347" s="5">
        <v>6900</v>
      </c>
      <c r="F347" s="69">
        <f t="shared" si="8"/>
        <v>0.98571428571428577</v>
      </c>
      <c r="G347" s="1"/>
      <c r="H347" s="1"/>
    </row>
    <row r="348" spans="1:8">
      <c r="A348" s="27" t="s">
        <v>344</v>
      </c>
      <c r="B348" s="8" t="s">
        <v>345</v>
      </c>
      <c r="C348" s="8"/>
      <c r="D348" s="9">
        <f>D349+D350</f>
        <v>889109.53</v>
      </c>
      <c r="E348" s="9">
        <f>E349+E350</f>
        <v>878332.79</v>
      </c>
      <c r="F348" s="69">
        <f t="shared" si="8"/>
        <v>0.98787917614604803</v>
      </c>
      <c r="G348" s="1"/>
      <c r="H348" s="1"/>
    </row>
    <row r="349" spans="1:8" ht="33.75">
      <c r="A349" s="29" t="s">
        <v>90</v>
      </c>
      <c r="B349" s="4" t="s">
        <v>345</v>
      </c>
      <c r="C349" s="4" t="s">
        <v>91</v>
      </c>
      <c r="D349" s="5">
        <f>647385+5789+33000+50892</f>
        <v>737066</v>
      </c>
      <c r="E349" s="5">
        <v>735993.31</v>
      </c>
      <c r="F349" s="69">
        <f t="shared" si="8"/>
        <v>0.99854464864747539</v>
      </c>
      <c r="G349" s="1"/>
      <c r="H349" s="1"/>
    </row>
    <row r="350" spans="1:8" ht="22.5">
      <c r="A350" s="29" t="s">
        <v>92</v>
      </c>
      <c r="B350" s="4" t="s">
        <v>345</v>
      </c>
      <c r="C350" s="4" t="s">
        <v>93</v>
      </c>
      <c r="D350" s="5">
        <f>60119.53+61454+30470</f>
        <v>152043.53</v>
      </c>
      <c r="E350" s="5">
        <v>142339.48000000001</v>
      </c>
      <c r="F350" s="69">
        <f t="shared" si="8"/>
        <v>0.93617584385208641</v>
      </c>
      <c r="G350" s="1"/>
      <c r="H350" s="1"/>
    </row>
    <row r="351" spans="1:8">
      <c r="A351" s="13" t="s">
        <v>346</v>
      </c>
      <c r="B351" s="12"/>
      <c r="C351" s="12"/>
      <c r="D351" s="15">
        <f>D5+D116+D164+D177+D213+D255+D273+D333+D338</f>
        <v>360524008.98000002</v>
      </c>
      <c r="E351" s="15">
        <f>E5+E116+E164+E177+E213+E255+E273+E333+E338</f>
        <v>336633821.31000006</v>
      </c>
      <c r="F351" s="69">
        <f t="shared" si="8"/>
        <v>0.93373482188442747</v>
      </c>
      <c r="G351" s="1"/>
      <c r="H351" s="1"/>
    </row>
  </sheetData>
  <mergeCells count="3">
    <mergeCell ref="B3:H3"/>
    <mergeCell ref="A2:F2"/>
    <mergeCell ref="B1:F1"/>
  </mergeCells>
  <pageMargins left="0.43307086614173229" right="0.23622047244094491" top="0.15748031496062992" bottom="0.15748031496062992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2025-03-25T12:48:21Z</cp:lastPrinted>
  <dcterms:modified xsi:type="dcterms:W3CDTF">2025-03-25T12:48:32Z</dcterms:modified>
</cp:coreProperties>
</file>