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390" windowWidth="28440" windowHeight="12195"/>
  </bookViews>
  <sheets>
    <sheet name="Table1" sheetId="1" r:id="rId1"/>
  </sheets>
  <definedNames>
    <definedName name="_xlnm._FilterDatabase" localSheetId="0" hidden="1">Table1!$A$1:$G$538</definedName>
    <definedName name="_xlnm.Print_Area" localSheetId="0">Table1!$A$2:$G$538</definedName>
  </definedNames>
  <calcPr calcId="125725"/>
</workbook>
</file>

<file path=xl/calcChain.xml><?xml version="1.0" encoding="utf-8"?>
<calcChain xmlns="http://schemas.openxmlformats.org/spreadsheetml/2006/main">
  <c r="F538" i="1"/>
  <c r="E538"/>
  <c r="F501"/>
  <c r="E501"/>
  <c r="G508"/>
  <c r="G509"/>
  <c r="F76" l="1"/>
  <c r="G537"/>
  <c r="G535"/>
  <c r="G533"/>
  <c r="G519"/>
  <c r="G517"/>
  <c r="G511"/>
  <c r="G507"/>
  <c r="G505"/>
  <c r="G503"/>
  <c r="G492"/>
  <c r="G490"/>
  <c r="G485"/>
  <c r="G480"/>
  <c r="G470"/>
  <c r="G461"/>
  <c r="G452"/>
  <c r="G446"/>
  <c r="G441"/>
  <c r="G439"/>
  <c r="G437"/>
  <c r="G435"/>
  <c r="G433"/>
  <c r="G431"/>
  <c r="G429"/>
  <c r="G425"/>
  <c r="G423"/>
  <c r="G421"/>
  <c r="G419"/>
  <c r="G394"/>
  <c r="G391"/>
  <c r="G388"/>
  <c r="G386"/>
  <c r="G375"/>
  <c r="G364"/>
  <c r="G362"/>
  <c r="G355"/>
  <c r="G353"/>
  <c r="G351"/>
  <c r="G341"/>
  <c r="G336"/>
  <c r="G334"/>
  <c r="G326"/>
  <c r="G322"/>
  <c r="G314"/>
  <c r="G306"/>
  <c r="G300"/>
  <c r="G291"/>
  <c r="G287"/>
  <c r="G283"/>
  <c r="G269"/>
  <c r="G267"/>
  <c r="G261"/>
  <c r="G258"/>
  <c r="G256"/>
  <c r="G250"/>
  <c r="G248"/>
  <c r="G244"/>
  <c r="G241"/>
  <c r="G228"/>
  <c r="G226"/>
  <c r="G221"/>
  <c r="G219"/>
  <c r="G213"/>
  <c r="G211"/>
  <c r="G194"/>
  <c r="G182"/>
  <c r="G180"/>
  <c r="G173"/>
  <c r="G169"/>
  <c r="G166"/>
  <c r="G160"/>
  <c r="G158"/>
  <c r="G140"/>
  <c r="G133"/>
  <c r="G130"/>
  <c r="G128"/>
  <c r="G120"/>
  <c r="G116"/>
  <c r="G114"/>
  <c r="G107"/>
  <c r="G101"/>
  <c r="G95"/>
  <c r="G94"/>
  <c r="G92"/>
  <c r="G91"/>
  <c r="G90"/>
  <c r="G86"/>
  <c r="G82"/>
  <c r="G51"/>
  <c r="G38"/>
  <c r="G23"/>
  <c r="G17"/>
  <c r="G16"/>
  <c r="F536"/>
  <c r="F534"/>
  <c r="F532"/>
  <c r="F525"/>
  <c r="F524" s="1"/>
  <c r="F523" s="1"/>
  <c r="F522" s="1"/>
  <c r="F521"/>
  <c r="F520" s="1"/>
  <c r="F518"/>
  <c r="F516"/>
  <c r="F510"/>
  <c r="F506"/>
  <c r="F504"/>
  <c r="F502"/>
  <c r="F499"/>
  <c r="F498" s="1"/>
  <c r="F497" s="1"/>
  <c r="F496" s="1"/>
  <c r="F491"/>
  <c r="F489"/>
  <c r="F484"/>
  <c r="F479"/>
  <c r="F478" s="1"/>
  <c r="F477" s="1"/>
  <c r="F476" s="1"/>
  <c r="F474"/>
  <c r="F469"/>
  <c r="F468" s="1"/>
  <c r="F466"/>
  <c r="F460"/>
  <c r="F459"/>
  <c r="F458" s="1"/>
  <c r="F451"/>
  <c r="F445"/>
  <c r="F444" s="1"/>
  <c r="F443" s="1"/>
  <c r="F442" s="1"/>
  <c r="F440"/>
  <c r="F438"/>
  <c r="F436"/>
  <c r="F434"/>
  <c r="F432"/>
  <c r="F430"/>
  <c r="F428"/>
  <c r="F426"/>
  <c r="F424"/>
  <c r="F422"/>
  <c r="F420"/>
  <c r="F418"/>
  <c r="F416"/>
  <c r="F415" s="1"/>
  <c r="F414"/>
  <c r="F406"/>
  <c r="F398"/>
  <c r="F397" s="1"/>
  <c r="F393"/>
  <c r="F392" s="1"/>
  <c r="F390"/>
  <c r="F389" s="1"/>
  <c r="F387"/>
  <c r="F385"/>
  <c r="F380"/>
  <c r="F374"/>
  <c r="F373" s="1"/>
  <c r="F372" s="1"/>
  <c r="F371" s="1"/>
  <c r="F368"/>
  <c r="F363"/>
  <c r="F361"/>
  <c r="F360"/>
  <c r="F359" s="1"/>
  <c r="F354"/>
  <c r="F352"/>
  <c r="F350"/>
  <c r="F349"/>
  <c r="F348" s="1"/>
  <c r="F347"/>
  <c r="F346" s="1"/>
  <c r="F340"/>
  <c r="F335"/>
  <c r="F333"/>
  <c r="F332"/>
  <c r="F331" s="1"/>
  <c r="F330"/>
  <c r="F328"/>
  <c r="F327" s="1"/>
  <c r="F325"/>
  <c r="F323"/>
  <c r="F321"/>
  <c r="F319"/>
  <c r="F317"/>
  <c r="F316"/>
  <c r="F315" s="1"/>
  <c r="F313"/>
  <c r="F311"/>
  <c r="F307"/>
  <c r="F305"/>
  <c r="F299"/>
  <c r="F293"/>
  <c r="F292" s="1"/>
  <c r="F290"/>
  <c r="F288"/>
  <c r="F286"/>
  <c r="F285"/>
  <c r="F282"/>
  <c r="F280"/>
  <c r="F274"/>
  <c r="F273" s="1"/>
  <c r="F272" s="1"/>
  <c r="F268"/>
  <c r="F266"/>
  <c r="F257"/>
  <c r="F255"/>
  <c r="F252"/>
  <c r="F251" s="1"/>
  <c r="F249"/>
  <c r="F247"/>
  <c r="F245"/>
  <c r="F240"/>
  <c r="F227"/>
  <c r="F225"/>
  <c r="F220"/>
  <c r="F218"/>
  <c r="F212"/>
  <c r="F210"/>
  <c r="F206"/>
  <c r="F204"/>
  <c r="F201"/>
  <c r="F200" s="1"/>
  <c r="F195"/>
  <c r="F193"/>
  <c r="F190"/>
  <c r="F188"/>
  <c r="F187" s="1"/>
  <c r="F181"/>
  <c r="F179"/>
  <c r="F172"/>
  <c r="F171" s="1"/>
  <c r="F168"/>
  <c r="F165"/>
  <c r="F164" s="1"/>
  <c r="F159"/>
  <c r="F157"/>
  <c r="F152"/>
  <c r="F151" s="1"/>
  <c r="F150" s="1"/>
  <c r="F149" s="1"/>
  <c r="F148" s="1"/>
  <c r="F147" s="1"/>
  <c r="F145"/>
  <c r="F139"/>
  <c r="F132"/>
  <c r="F131" s="1"/>
  <c r="F129"/>
  <c r="F127"/>
  <c r="F124"/>
  <c r="F123" s="1"/>
  <c r="F122" s="1"/>
  <c r="F121" s="1"/>
  <c r="F119"/>
  <c r="F118" s="1"/>
  <c r="F117" s="1"/>
  <c r="F115"/>
  <c r="F113"/>
  <c r="F112" s="1"/>
  <c r="F110"/>
  <c r="F109"/>
  <c r="F105"/>
  <c r="F99"/>
  <c r="F98" s="1"/>
  <c r="F93"/>
  <c r="F89"/>
  <c r="F81"/>
  <c r="F72"/>
  <c r="F71"/>
  <c r="F64"/>
  <c r="F63" s="1"/>
  <c r="F61"/>
  <c r="F60" s="1"/>
  <c r="F59" s="1"/>
  <c r="F58" s="1"/>
  <c r="F57" s="1"/>
  <c r="F56" s="1"/>
  <c r="F49"/>
  <c r="F48" s="1"/>
  <c r="F43"/>
  <c r="F37"/>
  <c r="F36" s="1"/>
  <c r="F35" s="1"/>
  <c r="F33"/>
  <c r="F31"/>
  <c r="F30"/>
  <c r="F22"/>
  <c r="F21" s="1"/>
  <c r="F20" s="1"/>
  <c r="F19" s="1"/>
  <c r="F15"/>
  <c r="F14" s="1"/>
  <c r="F11"/>
  <c r="F10" s="1"/>
  <c r="F9" s="1"/>
  <c r="F8" s="1"/>
  <c r="F7" s="1"/>
  <c r="E536"/>
  <c r="E534"/>
  <c r="E532"/>
  <c r="E526"/>
  <c r="E525" s="1"/>
  <c r="E524" s="1"/>
  <c r="E523" s="1"/>
  <c r="E521"/>
  <c r="E520" s="1"/>
  <c r="E518"/>
  <c r="E516"/>
  <c r="E510"/>
  <c r="E506"/>
  <c r="E504"/>
  <c r="E502"/>
  <c r="E499"/>
  <c r="E498" s="1"/>
  <c r="E497" s="1"/>
  <c r="E496" s="1"/>
  <c r="E491"/>
  <c r="E489"/>
  <c r="E484"/>
  <c r="E483" s="1"/>
  <c r="E482" s="1"/>
  <c r="E481" s="1"/>
  <c r="E479"/>
  <c r="E478" s="1"/>
  <c r="E477" s="1"/>
  <c r="E476" s="1"/>
  <c r="E474"/>
  <c r="E473" s="1"/>
  <c r="E472" s="1"/>
  <c r="E469"/>
  <c r="E468" s="1"/>
  <c r="E467"/>
  <c r="E460"/>
  <c r="E459"/>
  <c r="E458" s="1"/>
  <c r="E451"/>
  <c r="E450" s="1"/>
  <c r="E449" s="1"/>
  <c r="E448" s="1"/>
  <c r="E447" s="1"/>
  <c r="E445"/>
  <c r="E444" s="1"/>
  <c r="E443" s="1"/>
  <c r="E442" s="1"/>
  <c r="E440"/>
  <c r="E438"/>
  <c r="E436"/>
  <c r="E434"/>
  <c r="E432"/>
  <c r="E430"/>
  <c r="E428"/>
  <c r="E427"/>
  <c r="E426" s="1"/>
  <c r="E424"/>
  <c r="E422"/>
  <c r="E420"/>
  <c r="E418"/>
  <c r="E416"/>
  <c r="E415" s="1"/>
  <c r="E414"/>
  <c r="E413" s="1"/>
  <c r="E407"/>
  <c r="E406" s="1"/>
  <c r="E405"/>
  <c r="E404"/>
  <c r="E403"/>
  <c r="E398"/>
  <c r="E397" s="1"/>
  <c r="E396" s="1"/>
  <c r="E395" s="1"/>
  <c r="E393"/>
  <c r="E392" s="1"/>
  <c r="E390"/>
  <c r="E389" s="1"/>
  <c r="E387"/>
  <c r="E385"/>
  <c r="E380"/>
  <c r="E379" s="1"/>
  <c r="E378" s="1"/>
  <c r="E377" s="1"/>
  <c r="E376" s="1"/>
  <c r="E374"/>
  <c r="E373" s="1"/>
  <c r="E372" s="1"/>
  <c r="E371" s="1"/>
  <c r="E363"/>
  <c r="E361"/>
  <c r="E360"/>
  <c r="E359" s="1"/>
  <c r="E354"/>
  <c r="E352"/>
  <c r="E350"/>
  <c r="E349"/>
  <c r="E347"/>
  <c r="E346" s="1"/>
  <c r="E340"/>
  <c r="E339" s="1"/>
  <c r="E338" s="1"/>
  <c r="E337" s="1"/>
  <c r="E335"/>
  <c r="E333"/>
  <c r="E332"/>
  <c r="E331" s="1"/>
  <c r="E330"/>
  <c r="E329" s="1"/>
  <c r="E328"/>
  <c r="E327" s="1"/>
  <c r="E325"/>
  <c r="E324"/>
  <c r="E323" s="1"/>
  <c r="E321"/>
  <c r="E320"/>
  <c r="E319" s="1"/>
  <c r="E318"/>
  <c r="E317" s="1"/>
  <c r="E316"/>
  <c r="E315" s="1"/>
  <c r="E313"/>
  <c r="E312"/>
  <c r="E311" s="1"/>
  <c r="E310"/>
  <c r="E309" s="1"/>
  <c r="E308"/>
  <c r="E307" s="1"/>
  <c r="E305"/>
  <c r="E299"/>
  <c r="E298" s="1"/>
  <c r="E297" s="1"/>
  <c r="E296" s="1"/>
  <c r="E295"/>
  <c r="E294" s="1"/>
  <c r="E293"/>
  <c r="E292" s="1"/>
  <c r="E290"/>
  <c r="E289"/>
  <c r="E288" s="1"/>
  <c r="E286"/>
  <c r="E285"/>
  <c r="E284" s="1"/>
  <c r="E282"/>
  <c r="E281"/>
  <c r="E280" s="1"/>
  <c r="E274"/>
  <c r="E273" s="1"/>
  <c r="E272" s="1"/>
  <c r="E268"/>
  <c r="E266"/>
  <c r="E260"/>
  <c r="E259" s="1"/>
  <c r="E257"/>
  <c r="E255"/>
  <c r="E254"/>
  <c r="E253" s="1"/>
  <c r="E252"/>
  <c r="E251" s="1"/>
  <c r="E249"/>
  <c r="E247"/>
  <c r="E246"/>
  <c r="E245" s="1"/>
  <c r="E243"/>
  <c r="E242" s="1"/>
  <c r="E240"/>
  <c r="E235"/>
  <c r="E234" s="1"/>
  <c r="E233" s="1"/>
  <c r="E232" s="1"/>
  <c r="E231" s="1"/>
  <c r="E230" s="1"/>
  <c r="E227"/>
  <c r="E225"/>
  <c r="E220"/>
  <c r="E218"/>
  <c r="E212"/>
  <c r="E210"/>
  <c r="E207"/>
  <c r="E206" s="1"/>
  <c r="E205"/>
  <c r="E204" s="1"/>
  <c r="E202"/>
  <c r="E196"/>
  <c r="E195" s="1"/>
  <c r="E193"/>
  <c r="E190"/>
  <c r="E189" s="1"/>
  <c r="E188"/>
  <c r="E187" s="1"/>
  <c r="E181"/>
  <c r="E179"/>
  <c r="E172"/>
  <c r="E171" s="1"/>
  <c r="E170" s="1"/>
  <c r="E168"/>
  <c r="E167" s="1"/>
  <c r="E165"/>
  <c r="E164" s="1"/>
  <c r="E159"/>
  <c r="E157"/>
  <c r="E152"/>
  <c r="E145"/>
  <c r="E144" s="1"/>
  <c r="E143" s="1"/>
  <c r="E142" s="1"/>
  <c r="E141" s="1"/>
  <c r="E139"/>
  <c r="E138" s="1"/>
  <c r="E137" s="1"/>
  <c r="E136" s="1"/>
  <c r="E132"/>
  <c r="E131" s="1"/>
  <c r="E129"/>
  <c r="E127"/>
  <c r="E124"/>
  <c r="E119"/>
  <c r="E118" s="1"/>
  <c r="E117" s="1"/>
  <c r="E115"/>
  <c r="E113"/>
  <c r="E112" s="1"/>
  <c r="E111"/>
  <c r="E110" s="1"/>
  <c r="E109"/>
  <c r="E108" s="1"/>
  <c r="E106"/>
  <c r="E100"/>
  <c r="E99" s="1"/>
  <c r="E98" s="1"/>
  <c r="E97" s="1"/>
  <c r="E96" s="1"/>
  <c r="E93"/>
  <c r="E89"/>
  <c r="E85"/>
  <c r="E84" s="1"/>
  <c r="E83" s="1"/>
  <c r="E81"/>
  <c r="E80" s="1"/>
  <c r="E77"/>
  <c r="E76" s="1"/>
  <c r="E72"/>
  <c r="E71"/>
  <c r="E65"/>
  <c r="E64" s="1"/>
  <c r="E61"/>
  <c r="E60" s="1"/>
  <c r="E59" s="1"/>
  <c r="E58" s="1"/>
  <c r="E57" s="1"/>
  <c r="E56" s="1"/>
  <c r="E55"/>
  <c r="G55" s="1"/>
  <c r="E54"/>
  <c r="E50"/>
  <c r="E44"/>
  <c r="E43" s="1"/>
  <c r="E42" s="1"/>
  <c r="E41" s="1"/>
  <c r="E40" s="1"/>
  <c r="E39" s="1"/>
  <c r="E37"/>
  <c r="E36" s="1"/>
  <c r="E35" s="1"/>
  <c r="E34"/>
  <c r="E32"/>
  <c r="E30"/>
  <c r="E29"/>
  <c r="G29" s="1"/>
  <c r="E28"/>
  <c r="G28" s="1"/>
  <c r="E22"/>
  <c r="E21" s="1"/>
  <c r="E20" s="1"/>
  <c r="E19" s="1"/>
  <c r="E15"/>
  <c r="E14" s="1"/>
  <c r="E13" s="1"/>
  <c r="E12"/>
  <c r="E265" l="1"/>
  <c r="E264" s="1"/>
  <c r="E263" s="1"/>
  <c r="E304"/>
  <c r="E303" s="1"/>
  <c r="E302" s="1"/>
  <c r="E301" s="1"/>
  <c r="F265"/>
  <c r="F224"/>
  <c r="E239"/>
  <c r="E238" s="1"/>
  <c r="E237" s="1"/>
  <c r="E236" s="1"/>
  <c r="E224"/>
  <c r="E223" s="1"/>
  <c r="E222" s="1"/>
  <c r="G131"/>
  <c r="G317"/>
  <c r="G325"/>
  <c r="G387"/>
  <c r="G129"/>
  <c r="G406"/>
  <c r="G225"/>
  <c r="G280"/>
  <c r="G516"/>
  <c r="G532"/>
  <c r="G520"/>
  <c r="G71"/>
  <c r="G145"/>
  <c r="F178"/>
  <c r="F177" s="1"/>
  <c r="G405"/>
  <c r="G415"/>
  <c r="G424"/>
  <c r="G432"/>
  <c r="G491"/>
  <c r="G56"/>
  <c r="G35"/>
  <c r="G245"/>
  <c r="G260"/>
  <c r="G313"/>
  <c r="G321"/>
  <c r="G335"/>
  <c r="G350"/>
  <c r="G361"/>
  <c r="G392"/>
  <c r="G440"/>
  <c r="G460"/>
  <c r="F457"/>
  <c r="F456" s="1"/>
  <c r="F455" s="1"/>
  <c r="F454" s="1"/>
  <c r="G416"/>
  <c r="G19"/>
  <c r="G468"/>
  <c r="G72"/>
  <c r="G171"/>
  <c r="G195"/>
  <c r="G206"/>
  <c r="F217"/>
  <c r="F216" s="1"/>
  <c r="G227"/>
  <c r="G240"/>
  <c r="G249"/>
  <c r="G255"/>
  <c r="G506"/>
  <c r="G518"/>
  <c r="G534"/>
  <c r="E75"/>
  <c r="E74" s="1"/>
  <c r="E73" s="1"/>
  <c r="G30"/>
  <c r="G43"/>
  <c r="F70"/>
  <c r="F69" s="1"/>
  <c r="F68" s="1"/>
  <c r="G132"/>
  <c r="G285"/>
  <c r="G292"/>
  <c r="G307"/>
  <c r="G315"/>
  <c r="G323"/>
  <c r="G60"/>
  <c r="G77"/>
  <c r="F203"/>
  <c r="F199" s="1"/>
  <c r="G403"/>
  <c r="G420"/>
  <c r="G428"/>
  <c r="G316"/>
  <c r="G524"/>
  <c r="G536"/>
  <c r="G115"/>
  <c r="G188"/>
  <c r="E53"/>
  <c r="E52" s="1"/>
  <c r="G110"/>
  <c r="G179"/>
  <c r="G273"/>
  <c r="G305"/>
  <c r="G359"/>
  <c r="E370"/>
  <c r="G181"/>
  <c r="G193"/>
  <c r="G212"/>
  <c r="G266"/>
  <c r="G286"/>
  <c r="G333"/>
  <c r="G352"/>
  <c r="G363"/>
  <c r="G510"/>
  <c r="G61"/>
  <c r="G172"/>
  <c r="G289"/>
  <c r="G407"/>
  <c r="G93"/>
  <c r="G117"/>
  <c r="G436"/>
  <c r="G502"/>
  <c r="G293"/>
  <c r="E186"/>
  <c r="E185" s="1"/>
  <c r="E384"/>
  <c r="E383" s="1"/>
  <c r="E382" s="1"/>
  <c r="F27"/>
  <c r="F26" s="1"/>
  <c r="F25" s="1"/>
  <c r="F500"/>
  <c r="F495" s="1"/>
  <c r="G44"/>
  <c r="G59"/>
  <c r="G207"/>
  <c r="G328"/>
  <c r="G100"/>
  <c r="G113"/>
  <c r="G127"/>
  <c r="G157"/>
  <c r="G254"/>
  <c r="F259"/>
  <c r="G268"/>
  <c r="G288"/>
  <c r="G346"/>
  <c r="G354"/>
  <c r="G393"/>
  <c r="G57"/>
  <c r="G469"/>
  <c r="G499"/>
  <c r="E63"/>
  <c r="E62" s="1"/>
  <c r="G64"/>
  <c r="E33"/>
  <c r="G33" s="1"/>
  <c r="G34"/>
  <c r="F309"/>
  <c r="G309" s="1"/>
  <c r="G310"/>
  <c r="E31"/>
  <c r="G31" s="1"/>
  <c r="G32"/>
  <c r="E49"/>
  <c r="E48" s="1"/>
  <c r="E47" s="1"/>
  <c r="E46" s="1"/>
  <c r="G50"/>
  <c r="E201"/>
  <c r="E200" s="1"/>
  <c r="G200" s="1"/>
  <c r="G202"/>
  <c r="E368"/>
  <c r="E367" s="1"/>
  <c r="E366" s="1"/>
  <c r="E365" s="1"/>
  <c r="G369"/>
  <c r="E522"/>
  <c r="G522" s="1"/>
  <c r="G523"/>
  <c r="F88"/>
  <c r="G89"/>
  <c r="F156"/>
  <c r="G159"/>
  <c r="F450"/>
  <c r="G451"/>
  <c r="F465"/>
  <c r="F488"/>
  <c r="G489"/>
  <c r="G247"/>
  <c r="G422"/>
  <c r="G438"/>
  <c r="G504"/>
  <c r="G371"/>
  <c r="E135"/>
  <c r="E134" s="1"/>
  <c r="F42"/>
  <c r="G54"/>
  <c r="F126"/>
  <c r="F144"/>
  <c r="F170"/>
  <c r="G170" s="1"/>
  <c r="F253"/>
  <c r="G253" s="1"/>
  <c r="G257"/>
  <c r="G331"/>
  <c r="G389"/>
  <c r="G118"/>
  <c r="G165"/>
  <c r="G218"/>
  <c r="G308"/>
  <c r="G445"/>
  <c r="G479"/>
  <c r="G498"/>
  <c r="G521"/>
  <c r="E105"/>
  <c r="G105" s="1"/>
  <c r="G106"/>
  <c r="G164"/>
  <c r="F339"/>
  <c r="G340"/>
  <c r="F402"/>
  <c r="F401" s="1"/>
  <c r="G404"/>
  <c r="E466"/>
  <c r="E465" s="1"/>
  <c r="G467"/>
  <c r="F62"/>
  <c r="F84"/>
  <c r="G85"/>
  <c r="F138"/>
  <c r="G139"/>
  <c r="F167"/>
  <c r="G167" s="1"/>
  <c r="G168"/>
  <c r="F329"/>
  <c r="G329" s="1"/>
  <c r="G330"/>
  <c r="F396"/>
  <c r="G397"/>
  <c r="F473"/>
  <c r="G474"/>
  <c r="F483"/>
  <c r="G484"/>
  <c r="G430"/>
  <c r="F53"/>
  <c r="G205"/>
  <c r="G220"/>
  <c r="G243"/>
  <c r="G251"/>
  <c r="F284"/>
  <c r="G284" s="1"/>
  <c r="G290"/>
  <c r="G418"/>
  <c r="G434"/>
  <c r="G442"/>
  <c r="G99"/>
  <c r="G274"/>
  <c r="G281"/>
  <c r="G320"/>
  <c r="G332"/>
  <c r="G347"/>
  <c r="G390"/>
  <c r="G398"/>
  <c r="G444"/>
  <c r="G478"/>
  <c r="E348"/>
  <c r="E345" s="1"/>
  <c r="E344" s="1"/>
  <c r="E343" s="1"/>
  <c r="G349"/>
  <c r="F234"/>
  <c r="G235"/>
  <c r="G295"/>
  <c r="F294"/>
  <c r="G294" s="1"/>
  <c r="F379"/>
  <c r="G380"/>
  <c r="F413"/>
  <c r="G413" s="1"/>
  <c r="G414"/>
  <c r="E11"/>
  <c r="E10" s="1"/>
  <c r="E9" s="1"/>
  <c r="E8" s="1"/>
  <c r="G12"/>
  <c r="E123"/>
  <c r="E122" s="1"/>
  <c r="E121" s="1"/>
  <c r="G121" s="1"/>
  <c r="G124"/>
  <c r="E151"/>
  <c r="E150" s="1"/>
  <c r="G152"/>
  <c r="G81"/>
  <c r="F80"/>
  <c r="F97"/>
  <c r="G98"/>
  <c r="F108"/>
  <c r="G108" s="1"/>
  <c r="G109"/>
  <c r="F189"/>
  <c r="G189" s="1"/>
  <c r="G190"/>
  <c r="F209"/>
  <c r="G210"/>
  <c r="F298"/>
  <c r="G299"/>
  <c r="F367"/>
  <c r="F384"/>
  <c r="G385"/>
  <c r="G112"/>
  <c r="G119"/>
  <c r="G282"/>
  <c r="G311"/>
  <c r="G319"/>
  <c r="G327"/>
  <c r="G458"/>
  <c r="G476"/>
  <c r="G496"/>
  <c r="F531"/>
  <c r="G65"/>
  <c r="G196"/>
  <c r="G204"/>
  <c r="G246"/>
  <c r="G312"/>
  <c r="G324"/>
  <c r="G374"/>
  <c r="G525"/>
  <c r="F417"/>
  <c r="G252"/>
  <c r="G373"/>
  <c r="G427"/>
  <c r="G443"/>
  <c r="G459"/>
  <c r="G477"/>
  <c r="G497"/>
  <c r="E126"/>
  <c r="E125" s="1"/>
  <c r="E156"/>
  <c r="E155" s="1"/>
  <c r="E154" s="1"/>
  <c r="E153" s="1"/>
  <c r="F242"/>
  <c r="G242" s="1"/>
  <c r="F358"/>
  <c r="G58"/>
  <c r="G111"/>
  <c r="G318"/>
  <c r="G360"/>
  <c r="G372"/>
  <c r="G426"/>
  <c r="G526"/>
  <c r="G37"/>
  <c r="G36"/>
  <c r="G22"/>
  <c r="G21"/>
  <c r="G20"/>
  <c r="G15"/>
  <c r="F13"/>
  <c r="G13" s="1"/>
  <c r="G14"/>
  <c r="F345"/>
  <c r="F192"/>
  <c r="F515"/>
  <c r="E531"/>
  <c r="E530" s="1"/>
  <c r="E529" s="1"/>
  <c r="E528" s="1"/>
  <c r="E527" s="1"/>
  <c r="E27"/>
  <c r="E217"/>
  <c r="E216" s="1"/>
  <c r="E215" s="1"/>
  <c r="E358"/>
  <c r="E357" s="1"/>
  <c r="E356" s="1"/>
  <c r="E402"/>
  <c r="E417"/>
  <c r="E192"/>
  <c r="E191" s="1"/>
  <c r="E79"/>
  <c r="E457"/>
  <c r="E456" s="1"/>
  <c r="E455" s="1"/>
  <c r="E454" s="1"/>
  <c r="E488"/>
  <c r="E487" s="1"/>
  <c r="E486" s="1"/>
  <c r="E475" s="1"/>
  <c r="E515"/>
  <c r="E514" s="1"/>
  <c r="E513" s="1"/>
  <c r="E512" s="1"/>
  <c r="E70"/>
  <c r="E69" s="1"/>
  <c r="E68" s="1"/>
  <c r="E67" s="1"/>
  <c r="E88"/>
  <c r="E87" s="1"/>
  <c r="E178"/>
  <c r="E177" s="1"/>
  <c r="E176" s="1"/>
  <c r="E175" s="1"/>
  <c r="E209"/>
  <c r="E208" s="1"/>
  <c r="E412"/>
  <c r="E203"/>
  <c r="E271"/>
  <c r="E270" s="1"/>
  <c r="E279"/>
  <c r="E278" s="1"/>
  <c r="E277" s="1"/>
  <c r="E276" s="1"/>
  <c r="E471"/>
  <c r="E163"/>
  <c r="E162" s="1"/>
  <c r="E161" s="1"/>
  <c r="E500"/>
  <c r="E495" s="1"/>
  <c r="E494" s="1"/>
  <c r="G473" l="1"/>
  <c r="F472"/>
  <c r="E401"/>
  <c r="E400" s="1"/>
  <c r="E399" s="1"/>
  <c r="E381" s="1"/>
  <c r="F304"/>
  <c r="G49"/>
  <c r="G259"/>
  <c r="F239"/>
  <c r="G27"/>
  <c r="G368"/>
  <c r="E214"/>
  <c r="E262"/>
  <c r="E229" s="1"/>
  <c r="G9"/>
  <c r="G11"/>
  <c r="E411"/>
  <c r="E410" s="1"/>
  <c r="E409" s="1"/>
  <c r="E408" s="1"/>
  <c r="F412"/>
  <c r="G412" s="1"/>
  <c r="E104"/>
  <c r="E103" s="1"/>
  <c r="E102" s="1"/>
  <c r="F104"/>
  <c r="G384"/>
  <c r="G62"/>
  <c r="F163"/>
  <c r="G163" s="1"/>
  <c r="G472"/>
  <c r="G122"/>
  <c r="E493"/>
  <c r="F303"/>
  <c r="G417"/>
  <c r="E464"/>
  <c r="E463" s="1"/>
  <c r="E462" s="1"/>
  <c r="E453" s="1"/>
  <c r="G10"/>
  <c r="G201"/>
  <c r="G456"/>
  <c r="G178"/>
  <c r="G466"/>
  <c r="E45"/>
  <c r="G151"/>
  <c r="F191"/>
  <c r="G191" s="1"/>
  <c r="G192"/>
  <c r="F530"/>
  <c r="G531"/>
  <c r="F297"/>
  <c r="G298"/>
  <c r="F208"/>
  <c r="G208" s="1"/>
  <c r="G209"/>
  <c r="G454"/>
  <c r="F378"/>
  <c r="G379"/>
  <c r="F233"/>
  <c r="G234"/>
  <c r="F186"/>
  <c r="G187"/>
  <c r="F125"/>
  <c r="G125" s="1"/>
  <c r="G126"/>
  <c r="F41"/>
  <c r="G42"/>
  <c r="F471"/>
  <c r="G471" s="1"/>
  <c r="F449"/>
  <c r="G450"/>
  <c r="G70"/>
  <c r="G63"/>
  <c r="E199"/>
  <c r="E198" s="1"/>
  <c r="E197" s="1"/>
  <c r="G203"/>
  <c r="F482"/>
  <c r="G483"/>
  <c r="G402"/>
  <c r="F264"/>
  <c r="G265"/>
  <c r="G80"/>
  <c r="F83"/>
  <c r="G83" s="1"/>
  <c r="G84"/>
  <c r="F338"/>
  <c r="G339"/>
  <c r="F67"/>
  <c r="G68"/>
  <c r="G217"/>
  <c r="G455"/>
  <c r="G500"/>
  <c r="F514"/>
  <c r="G515"/>
  <c r="F344"/>
  <c r="G345"/>
  <c r="F223"/>
  <c r="G224"/>
  <c r="F395"/>
  <c r="G395" s="1"/>
  <c r="G396"/>
  <c r="F137"/>
  <c r="G138"/>
  <c r="F357"/>
  <c r="G358"/>
  <c r="F494"/>
  <c r="G494" s="1"/>
  <c r="G495"/>
  <c r="F366"/>
  <c r="G367"/>
  <c r="F215"/>
  <c r="G215" s="1"/>
  <c r="G216"/>
  <c r="F96"/>
  <c r="G96" s="1"/>
  <c r="G97"/>
  <c r="E149"/>
  <c r="G150"/>
  <c r="E7"/>
  <c r="G7" s="1"/>
  <c r="G8"/>
  <c r="F176"/>
  <c r="G177"/>
  <c r="F52"/>
  <c r="G52" s="1"/>
  <c r="G53"/>
  <c r="F143"/>
  <c r="G144"/>
  <c r="F75"/>
  <c r="G76"/>
  <c r="F487"/>
  <c r="G488"/>
  <c r="G465"/>
  <c r="F155"/>
  <c r="G156"/>
  <c r="F87"/>
  <c r="G87" s="1"/>
  <c r="G88"/>
  <c r="E342"/>
  <c r="F383"/>
  <c r="E26"/>
  <c r="E25" s="1"/>
  <c r="E24" s="1"/>
  <c r="E18" s="1"/>
  <c r="F279"/>
  <c r="G123"/>
  <c r="G457"/>
  <c r="G348"/>
  <c r="G501"/>
  <c r="G69"/>
  <c r="F47"/>
  <c r="G48"/>
  <c r="F24"/>
  <c r="E78"/>
  <c r="E184"/>
  <c r="E183" s="1"/>
  <c r="F162" l="1"/>
  <c r="F198"/>
  <c r="G198" s="1"/>
  <c r="F411"/>
  <c r="F410" s="1"/>
  <c r="G304"/>
  <c r="E66"/>
  <c r="E6" s="1"/>
  <c r="F464"/>
  <c r="G464" s="1"/>
  <c r="G26"/>
  <c r="E275"/>
  <c r="F222"/>
  <c r="G223"/>
  <c r="F513"/>
  <c r="G514"/>
  <c r="G67"/>
  <c r="F400"/>
  <c r="G401"/>
  <c r="G25"/>
  <c r="F154"/>
  <c r="G155"/>
  <c r="F74"/>
  <c r="G75"/>
  <c r="F271"/>
  <c r="G272"/>
  <c r="F481"/>
  <c r="G481" s="1"/>
  <c r="G482"/>
  <c r="F103"/>
  <c r="F102" s="1"/>
  <c r="G104"/>
  <c r="F486"/>
  <c r="G487"/>
  <c r="F356"/>
  <c r="G356" s="1"/>
  <c r="G357"/>
  <c r="F343"/>
  <c r="G344"/>
  <c r="F448"/>
  <c r="G449"/>
  <c r="F40"/>
  <c r="G41"/>
  <c r="F185"/>
  <c r="G186"/>
  <c r="F377"/>
  <c r="G378"/>
  <c r="F529"/>
  <c r="G530"/>
  <c r="F79"/>
  <c r="F365"/>
  <c r="G365" s="1"/>
  <c r="G366"/>
  <c r="F136"/>
  <c r="G137"/>
  <c r="F232"/>
  <c r="G233"/>
  <c r="F296"/>
  <c r="G296" s="1"/>
  <c r="G297"/>
  <c r="F382"/>
  <c r="G383"/>
  <c r="F142"/>
  <c r="G143"/>
  <c r="F175"/>
  <c r="G175" s="1"/>
  <c r="G176"/>
  <c r="E148"/>
  <c r="G149"/>
  <c r="F278"/>
  <c r="G279"/>
  <c r="F238"/>
  <c r="G239"/>
  <c r="F337"/>
  <c r="G337" s="1"/>
  <c r="G338"/>
  <c r="F263"/>
  <c r="G264"/>
  <c r="F302"/>
  <c r="G303"/>
  <c r="E174"/>
  <c r="G24"/>
  <c r="G199"/>
  <c r="F46"/>
  <c r="G47"/>
  <c r="F18"/>
  <c r="G18" s="1"/>
  <c r="F463" l="1"/>
  <c r="G463" s="1"/>
  <c r="F197"/>
  <c r="G197" s="1"/>
  <c r="G222"/>
  <c r="F214"/>
  <c r="G214" s="1"/>
  <c r="G411"/>
  <c r="G162"/>
  <c r="F161"/>
  <c r="G161" s="1"/>
  <c r="G263"/>
  <c r="F277"/>
  <c r="G278"/>
  <c r="F78"/>
  <c r="G78" s="1"/>
  <c r="G79"/>
  <c r="F376"/>
  <c r="G377"/>
  <c r="F39"/>
  <c r="G39" s="1"/>
  <c r="G40"/>
  <c r="F342"/>
  <c r="G342" s="1"/>
  <c r="G343"/>
  <c r="F475"/>
  <c r="G475" s="1"/>
  <c r="G486"/>
  <c r="F409"/>
  <c r="G410"/>
  <c r="F153"/>
  <c r="G154"/>
  <c r="F399"/>
  <c r="G399" s="1"/>
  <c r="G400"/>
  <c r="F512"/>
  <c r="G513"/>
  <c r="F301"/>
  <c r="G301" s="1"/>
  <c r="G302"/>
  <c r="F237"/>
  <c r="G238"/>
  <c r="E147"/>
  <c r="G148"/>
  <c r="F141"/>
  <c r="G141" s="1"/>
  <c r="G142"/>
  <c r="G382"/>
  <c r="F231"/>
  <c r="F230" s="1"/>
  <c r="G232"/>
  <c r="G136"/>
  <c r="F528"/>
  <c r="G529"/>
  <c r="G185"/>
  <c r="F184"/>
  <c r="F447"/>
  <c r="G447" s="1"/>
  <c r="G448"/>
  <c r="G102"/>
  <c r="G103"/>
  <c r="F270"/>
  <c r="G270" s="1"/>
  <c r="G271"/>
  <c r="F73"/>
  <c r="G74"/>
  <c r="F45"/>
  <c r="G45" s="1"/>
  <c r="G46"/>
  <c r="F462" l="1"/>
  <c r="F453" s="1"/>
  <c r="G453" s="1"/>
  <c r="F381"/>
  <c r="G381" s="1"/>
  <c r="F135"/>
  <c r="F134" s="1"/>
  <c r="G134" s="1"/>
  <c r="F527"/>
  <c r="G527" s="1"/>
  <c r="G528"/>
  <c r="G147"/>
  <c r="E146"/>
  <c r="G512"/>
  <c r="F493"/>
  <c r="G493" s="1"/>
  <c r="G153"/>
  <c r="F146"/>
  <c r="G146" s="1"/>
  <c r="G73"/>
  <c r="F66"/>
  <c r="G66" s="1"/>
  <c r="G231"/>
  <c r="F236"/>
  <c r="G236" s="1"/>
  <c r="G237"/>
  <c r="F408"/>
  <c r="G408" s="1"/>
  <c r="G409"/>
  <c r="G376"/>
  <c r="F370"/>
  <c r="G370" s="1"/>
  <c r="F276"/>
  <c r="G277"/>
  <c r="F183"/>
  <c r="G184"/>
  <c r="F262"/>
  <c r="G262" s="1"/>
  <c r="G462" l="1"/>
  <c r="F6"/>
  <c r="G6" s="1"/>
  <c r="G135"/>
  <c r="G276"/>
  <c r="F275"/>
  <c r="G275" s="1"/>
  <c r="G230"/>
  <c r="F229"/>
  <c r="G229" s="1"/>
  <c r="F174"/>
  <c r="G174" s="1"/>
  <c r="G183"/>
  <c r="G538" l="1"/>
</calcChain>
</file>

<file path=xl/sharedStrings.xml><?xml version="1.0" encoding="utf-8"?>
<sst xmlns="http://schemas.openxmlformats.org/spreadsheetml/2006/main" count="1622" uniqueCount="518">
  <si>
    <t>Распределение бюджетных ассигнований на 2024 год 
по разделам и подразделам, целевым статьям 
и видам расходов классификации расходов бюджета муниципального образования «Дновский район»</t>
  </si>
  <si>
    <t>(руб. )</t>
  </si>
  <si>
    <t>Наименование</t>
  </si>
  <si>
    <t>РзПР</t>
  </si>
  <si>
    <t>КЦСР</t>
  </si>
  <si>
    <t>КВР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</si>
  <si>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</si>
  <si>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</si>
  <si>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</si>
  <si>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</si>
  <si>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Муниципальная программа «Управление и обеспечение деятельности администрации муниципального образования, создание условий для эффективного управления муниципальными финансами и муниципальным долгом в муниципальном образовании "Дновский район"»</t>
  </si>
  <si>
    <t>0700000000</t>
  </si>
  <si>
    <t>Подпрограмма муниципальной программы «Обеспечение функционирования администрации муниципального образования»</t>
  </si>
  <si>
    <t>0710000000</t>
  </si>
  <si>
    <t>Основное мероприятие «Функционирование   администрации муниципального образования»</t>
  </si>
  <si>
    <t>0710100000</t>
  </si>
  <si>
    <t>Расходы на выплаты по оплате труда и обеспечение функций муниципальных органов</t>
  </si>
  <si>
    <t>0710100900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</si>
  <si>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</si>
  <si>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</si>
  <si>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</si>
  <si>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</si>
  <si>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Непрограммные расходы</t>
  </si>
  <si>
    <t>9000000000</t>
  </si>
  <si>
    <t>Выплаты, связанные с депутатской деятельностью</t>
  </si>
  <si>
    <t>9090300900</t>
  </si>
  <si>
    <t>Закупка товаров, работ и услуг для обеспечения государственных (муниципальных) нужд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</si>
  <si>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</si>
  <si>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</si>
  <si>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Муниципальная программа «Обеспечение безопасности граждан на территории муниципального образования "Дновский район"»</t>
  </si>
  <si>
    <t>0400000000</t>
  </si>
  <si>
    <t>Подпрограмма муниципальной программы «Пожарная безопасность и гражданская оборона муниципального образования»</t>
  </si>
  <si>
    <t>0410000000</t>
  </si>
  <si>
    <t>Основное мероприятие «Обеспечение первичных мер пожарной безопасности»</t>
  </si>
  <si>
    <t>0410100000</t>
  </si>
  <si>
    <t>Мероприятия, направленные на укрепление пожарной безопасности муниципального образования</t>
  </si>
  <si>
    <t>0410122100</t>
  </si>
  <si>
    <t>200</t>
  </si>
  <si>
    <t>Иные бюджетные ассигнования</t>
  </si>
  <si>
    <t>800</t>
  </si>
  <si>
    <t>Расходы на выплаты по оплате труда работникам, занимающим должности, не отнесенные к должностям муниципальной службы</t>
  </si>
  <si>
    <t>0710100901</t>
  </si>
  <si>
    <t>Обеспечение профессиональной переподготовки, повышения квалификации, стимулирования профессионального роста, закрепление молодых специалистов в районе</t>
  </si>
  <si>
    <t>0710125200</t>
  </si>
  <si>
    <t>Подпрограмма муниципальной программы «Обеспечение общего порядка и противодействие коррупции»</t>
  </si>
  <si>
    <t>0720000000</t>
  </si>
  <si>
    <t>Основное мероприятие «Обеспечение общего порядка и противодействие коррупции»</t>
  </si>
  <si>
    <t>0720100000</t>
  </si>
  <si>
    <t>Повышение квалификации муниципальных служащих, в должностные обязанности которых входит участие в противодействии коррупции</t>
  </si>
  <si>
    <t>0720125210</t>
  </si>
  <si>
    <t>Судебная система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</si>
  <si>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</si>
  <si>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</si>
  <si>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0710151200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</si>
  <si>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</si>
  <si>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</si>
  <si>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деятельности контрольно-счетного органа</t>
  </si>
  <si>
    <t>9090400900</t>
  </si>
  <si>
    <t>Обеспечение проведения выборов и референдумов</t>
  </si>
  <si>
    <t>0107</t>
  </si>
  <si>
    <t>Расходы на проведение выборов в органы местного самоуправления</t>
  </si>
  <si>
    <t>Резервные фонды</t>
  </si>
  <si>
    <t>0111</t>
  </si>
  <si>
    <t>Резервный фонд администрации муниципального района в рамках непрограммного направления деятельности</t>
  </si>
  <si>
    <t>9090020001</t>
  </si>
  <si>
    <t>Другие общегосударственные вопросы</t>
  </si>
  <si>
    <t>0113</t>
  </si>
  <si>
    <t>Муниципальная программа «Развитие образования, молодежной политики и физической культуры и спорта в муниципальном образовании "Дновский район"»</t>
  </si>
  <si>
    <t>0100000000</t>
  </si>
  <si>
    <t>Подпрограмма муниципальной программы «Развитие системы защиты прав детей»</t>
  </si>
  <si>
    <t>0130000000</t>
  </si>
  <si>
    <t>Основное мероприятие «Образование и обеспечение деятельности  комиссии по делам несовершеннолетних и защите их прав»»</t>
  </si>
  <si>
    <t>0130200000</t>
  </si>
  <si>
    <t>Расходы на выполнение государственных полномочий по образованию и обеспечению деятельности комиссий по делам несовершеннолетних и защите их прав</t>
  </si>
  <si>
    <t>0130242120</t>
  </si>
  <si>
    <t>Муниципальная программа «Содействие экономическому развитию и инвестиционной привлекательности в муниципальном образовании "Дновский район"»</t>
  </si>
  <si>
    <t>0300000000</t>
  </si>
  <si>
    <t>Подпрограмма муниципальной программы «Повышение инвестиционной привлекательности муниципального образования»</t>
  </si>
  <si>
    <t>0310000000</t>
  </si>
  <si>
    <t>Основное мероприятие «Повышение инвестиционной активности, обеспечивающей экономический подъем и повышение уровня жизни населения»</t>
  </si>
  <si>
    <t>0310100000</t>
  </si>
  <si>
    <t>Подготовка документов территориального планирования, градостроительного зонирования и документации по планировке территории</t>
  </si>
  <si>
    <t>0310141270</t>
  </si>
  <si>
    <t>Межбюджетные трансферты</t>
  </si>
  <si>
    <r>
      <rPr>
        <sz val="8"/>
        <color rgb="FF000000"/>
        <rFont val="Times New Roman"/>
      </rPr>
      <t>Мероприятия , направленные на укрепление пожарной безопасности муниципального образования</t>
    </r>
  </si>
  <si>
    <r>
      <rPr>
        <sz val="8"/>
        <color rgb="FF000000"/>
        <rFont val="Times New Roman"/>
      </rPr>
      <t>0113</t>
    </r>
  </si>
  <si>
    <r>
      <rPr>
        <sz val="8"/>
        <color rgb="FF000000"/>
        <rFont val="Times New Roman"/>
      </rPr>
      <t>0410122100</t>
    </r>
  </si>
  <si>
    <r>
      <rPr>
        <sz val="8"/>
        <color rgb="FF000000"/>
        <rFont val="Times New Roman"/>
      </rPr>
      <t>Закупка товаров, работ и услуг для обеспечения государственных (муниципальных) нужд</t>
    </r>
  </si>
  <si>
    <t>Основное мероприятие «Обеспечение мер по гражданской обороне»</t>
  </si>
  <si>
    <t>0410200000</t>
  </si>
  <si>
    <t>Мероприятия, направленные на функционирование единой дежурной диспетчерской службы</t>
  </si>
  <si>
    <t>0410222200</t>
  </si>
  <si>
    <t>Подпрограмма муниципальной программы "Профилактика преступлений и правонарушений, в том числе экстремистской и террористической направленности на территории муниципального образования"</t>
  </si>
  <si>
    <t>0420000000</t>
  </si>
  <si>
    <t>Основное мероприятие "Профилактика правонарушений и преступлений"</t>
  </si>
  <si>
    <t>0420200000</t>
  </si>
  <si>
    <t>Развитие и совершенствование института добровольных дружин за счет средств областного бюджета</t>
  </si>
  <si>
    <t>0420241350</t>
  </si>
  <si>
    <t>Муниципальная программа «Комплексное развитие систем коммунальной инфраструктуры и благоустройства муниципального образования "Дновский район"»</t>
  </si>
  <si>
    <t>0500000000</t>
  </si>
  <si>
    <t>Подпрограмма муниципальной программы «Комплексное развитие систем коммунальной инфраструктуры муниципального образования»</t>
  </si>
  <si>
    <t>0510000000</t>
  </si>
  <si>
    <t>Основное мероприятие «Комплексное развитие систем коммунальной инфраструктуры  муниципального образования»</t>
  </si>
  <si>
    <t>0510100000</t>
  </si>
  <si>
    <t>Содержание муниципальной казны</t>
  </si>
  <si>
    <t>0510122902</t>
  </si>
  <si>
    <t>Социальное обеспечение и иные выплаты населению</t>
  </si>
  <si>
    <t>300</t>
  </si>
  <si>
    <t>Обеспечение информированности населения о деятельности органов местного самоуправления</t>
  </si>
  <si>
    <t>0710121111</t>
  </si>
  <si>
    <t>Оценка недвижимости, признание прав регулирования отношений по муниципальной собственности</t>
  </si>
  <si>
    <t>0710125500</t>
  </si>
  <si>
    <t>Расходы на исполнение государственных полномочий по сбору информации, необходимой для ведения регистра муниципальных нормативных правовых актов Псковской области</t>
  </si>
  <si>
    <t>0710142130</t>
  </si>
  <si>
    <t>Расходы на исполнение государственных полномочий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</si>
  <si>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0720142140</t>
  </si>
  <si>
    <t>Подпрограмма муниципальной программы «Совершенствование, развитие бюджетного процесса и управление муниципальным долгом»</t>
  </si>
  <si>
    <t>0730000000</t>
  </si>
  <si>
    <t>Основное мероприятие «Совершенствование и развитие бюджетного процесса»</t>
  </si>
  <si>
    <t>0730100000</t>
  </si>
  <si>
    <r>
      <rPr>
        <b/>
        <i/>
        <sz val="8"/>
        <color rgb="FF000000"/>
        <rFont val="Times New Roman"/>
      </rPr>
      <t>Подпрограмма «Вовлечение населения в осуществление местного самоуправления, поддержка гражданских инициатив»</t>
    </r>
  </si>
  <si>
    <t>0750000000</t>
  </si>
  <si>
    <r>
      <rPr>
        <i/>
        <sz val="8"/>
        <color rgb="FF000000"/>
        <rFont val="Times New Roman"/>
      </rPr>
      <t>Основное мероприятие  «Развитие институтов территориального общественного самоуправления и поддержку проектов местных инициатив»</t>
    </r>
  </si>
  <si>
    <t>0750100000</t>
  </si>
  <si>
    <r>
      <rPr>
        <sz val="8"/>
        <color rgb="FF000000"/>
        <rFont val="Times New Roman"/>
      </rPr>
      <t>Расходы на реализацию инициативных проектов</t>
    </r>
  </si>
  <si>
    <t>0750121300</t>
  </si>
  <si>
    <t>Выполнение прочих функций органами местного самоуправления</t>
  </si>
  <si>
    <t>9090020004</t>
  </si>
  <si>
    <t>НАЦИОНАЛЬНАЯ ОБОРОНА</t>
  </si>
  <si>
    <t>0200</t>
  </si>
  <si>
    <t>Мобилизационная и вневойсковая подготовка</t>
  </si>
  <si>
    <t>0203</t>
  </si>
  <si>
    <t>Обеспечение безопасности и защиты информации</t>
  </si>
  <si>
    <t>0410222450</t>
  </si>
  <si>
    <t>Предоставление субвенции на осуществление полномочий по первичному воинскому учету на территориях, где отсутствуют военные комиссариаты</t>
  </si>
  <si>
    <t>0710151180</t>
  </si>
  <si>
    <t>500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</si>
  <si>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</si>
  <si>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</si>
  <si>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</si>
  <si>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</si>
  <si>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Мероприятия по гражданской обороне</t>
  </si>
  <si>
    <t>0410222400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</si>
  <si>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</si>
  <si>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</si>
  <si>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Софинансирование мероприятий по обеспечению пожарной безопасности в органах исполнительной власти области и муниципальных образованиях</t>
  </si>
  <si>
    <t>04101W1340</t>
  </si>
  <si>
    <t>Обеспечение пожарной безопасности в органах исполнительной власти области и муниципальных образованиях</t>
  </si>
  <si>
    <t>0410141340</t>
  </si>
  <si>
    <t>Другие вопросы в области национальной безопасности и правоохранительной деятельности</t>
  </si>
  <si>
    <t>0314</t>
  </si>
  <si>
    <t>Подпрограмма муниципальной программы «Профилактика преступлений и правонарушений, в том числе экстремистской и террористической направленности на территории муниципального образования»</t>
  </si>
  <si>
    <t>Основное мероприятие «Профилактика экстремизма и терроризма»</t>
  </si>
  <si>
    <t>0420100000</t>
  </si>
  <si>
    <t>Мероприятия по обеспечению общественного порядка и противодействие преступности</t>
  </si>
  <si>
    <t>0420122600</t>
  </si>
  <si>
    <t>Основное мероприятие «Профилактика правонарушений и преступлений»</t>
  </si>
  <si>
    <t>Работа с несовершеннолетними, находящимися в конфликте с законом и состоящими на учете в ОВД</t>
  </si>
  <si>
    <t>0420221802</t>
  </si>
  <si>
    <t>Подпрограмма муниципальной программы «Антинаркотическая деятельность на территории муниципального образования»</t>
  </si>
  <si>
    <t>0430000000</t>
  </si>
  <si>
    <t>Основное мероприятие «Антинаркотическая деятельность на территории муниципального образования»</t>
  </si>
  <si>
    <t>0430100000</t>
  </si>
  <si>
    <t>Мероприятия по осуществлению антинаркотической пропаганды и антинаркотического просвещения</t>
  </si>
  <si>
    <t>0430122700</t>
  </si>
  <si>
    <t>0600000000</t>
  </si>
  <si>
    <t>Подпрограмма муниципальной программы «Повышение безопасности дорожного движения»</t>
  </si>
  <si>
    <t>0620000000</t>
  </si>
  <si>
    <t>НАЦИОНАЛЬНАЯ ЭКОНОМИКА</t>
  </si>
  <si>
    <t>0400</t>
  </si>
  <si>
    <t>Общеэкономические вопросы</t>
  </si>
  <si>
    <t>0401</t>
  </si>
  <si>
    <t>Подпрограмма муниципальной программы «Молодое поколение»</t>
  </si>
  <si>
    <t>0120000000</t>
  </si>
  <si>
    <t>Основное мероприятие «Молодежь»</t>
  </si>
  <si>
    <t>0120200000</t>
  </si>
  <si>
    <t>Мероприятия в области молодежной политики</t>
  </si>
  <si>
    <t>0120220500</t>
  </si>
  <si>
    <t>Предоставление субсидий бюджетным, автономным учреждениям и иным некоммерческим организациям</t>
  </si>
  <si>
    <t>600</t>
  </si>
  <si>
    <t>Расходы на реализацию мероприятий в рамках комплекса процессных мероприятий "Активная политика занятости населения и социальная поддержка безработных граждан"</t>
  </si>
  <si>
    <t>0120243040</t>
  </si>
  <si>
    <r>
      <rPr>
        <sz val="8"/>
        <color rgb="FF000000"/>
        <rFont val="Times New Roman"/>
      </rPr>
      <t>Предоставление субсидий бюджетным, автономным учреждениям и иным некоммерческим организациям</t>
    </r>
  </si>
  <si>
    <t>Сельское хозяйство и рыболовство</t>
  </si>
  <si>
    <t>0405</t>
  </si>
  <si>
    <t>Расходы на подготовку проектов межевания земельных участков и на проведение кадастровых работ</t>
  </si>
  <si>
    <t>05101L5990</t>
  </si>
  <si>
    <t>Расходы на ликвидацию очагов сорного растения борщевик Сосновского</t>
  </si>
  <si>
    <t>0510141570</t>
  </si>
  <si>
    <t>Подпрограмма муниципальной программы «Благоустройство»</t>
  </si>
  <si>
    <t>0550000000</t>
  </si>
  <si>
    <t>Основное мероприятие  «Санитарно-эпидемиологические мероприятия»</t>
  </si>
  <si>
    <t>0550100000</t>
  </si>
  <si>
    <t>Мероприятия по осуществлению деятельности по обращению с животными без владельцев за счет средств местного бюджета</t>
  </si>
  <si>
    <t>0550120950</t>
  </si>
  <si>
    <t>Мероприятия по осуществлению деятельности по обращению с животными без владельцев за счет средств областного бюджета</t>
  </si>
  <si>
    <t>0550142200</t>
  </si>
  <si>
    <t>Дорожное хозяйство (дорожные фонды)</t>
  </si>
  <si>
    <t>0409</t>
  </si>
  <si>
    <t>Муниципальная программа «Развитие транспортной системы  на территории муниципального образования "Дновский район"»</t>
  </si>
  <si>
    <t>Подпрограмма муниципальной программы «Сохранение и развитие автомобильных дорог общего пользования местного значения в муниципальном образовании»</t>
  </si>
  <si>
    <t>0610000000</t>
  </si>
  <si>
    <t>Основное мероприятие «Содержание автомобильных дорог общего пользования местного значения»</t>
  </si>
  <si>
    <t>0610100000</t>
  </si>
  <si>
    <t>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</si>
  <si>
    <t>0610124100</t>
  </si>
  <si>
    <t>Основное  мероприятие «Осуществление дорожной деятельности»</t>
  </si>
  <si>
    <t>0610200000</t>
  </si>
  <si>
    <t>Софинансирование из местно бюджета на осуществление дорожной деятельности, а так же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</si>
  <si>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06102W1190</t>
  </si>
  <si>
    <t>Осуществление дорожной деятельности,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в рамках основного мероприятия "Выполнение работ по обеспечению сохранности и приведению в нормативное состояние автомобильных дорог общего пользования местного значения, дворовых территорий и проездов к ним"</t>
  </si>
  <si>
    <t>0610241190</t>
  </si>
  <si>
    <t>Основное мероприятие "Приобретение дорожной техники"</t>
  </si>
  <si>
    <t>0620200000</t>
  </si>
  <si>
    <t>Софинансирование расходов на приобретение дорожной техники</t>
  </si>
  <si>
    <t>06202W1930</t>
  </si>
  <si>
    <t>Расходы на приобретение дорожной техники</t>
  </si>
  <si>
    <t>0620241930</t>
  </si>
  <si>
    <t>Другие вопросы в области национальной экономики</t>
  </si>
  <si>
    <t>0412</t>
  </si>
  <si>
    <t>Муниципальная программа «Развитие культуры в муниципальном образовании "Дновский район"»</t>
  </si>
  <si>
    <t>0200000000</t>
  </si>
  <si>
    <t>Подпрограмма муниципальной программы "Туризм"</t>
  </si>
  <si>
    <r>
      <rPr>
        <b/>
        <i/>
        <sz val="8"/>
        <rFont val="Times New Roman"/>
      </rPr>
      <t>0412</t>
    </r>
  </si>
  <si>
    <t>0230000000</t>
  </si>
  <si>
    <t>Основное мероприятие "Информационное продвижение туристических продуктов"</t>
  </si>
  <si>
    <r>
      <rPr>
        <i/>
        <sz val="8"/>
        <rFont val="Times New Roman"/>
      </rPr>
      <t>0412</t>
    </r>
  </si>
  <si>
    <t>0230100000</t>
  </si>
  <si>
    <r>
      <rPr>
        <sz val="8"/>
        <color rgb="FF000000"/>
        <rFont val="Times New Roman"/>
      </rPr>
      <t>Софинансирование на расходы на установку знаков туристской навигации</t>
    </r>
  </si>
  <si>
    <r>
      <rPr>
        <sz val="8"/>
        <rFont val="Times New Roman"/>
      </rPr>
      <t>02301W1910</t>
    </r>
  </si>
  <si>
    <r>
      <rPr>
        <sz val="8"/>
        <color rgb="FF000000"/>
        <rFont val="Times New Roman"/>
      </rPr>
      <t>Расходы на установку знаков туристской навигации</t>
    </r>
  </si>
  <si>
    <r>
      <rPr>
        <sz val="8"/>
        <rFont val="Times New Roman"/>
      </rPr>
      <t>0230141910</t>
    </r>
  </si>
  <si>
    <t>Муниципальная программа «Содействие экономическому развитию и инвестиционной привлекательности муниципального образования "Дновский район"»</t>
  </si>
  <si>
    <t>Подпрограмма муниципальной программы «Развитие и поддержка малого и среднего предпринимательства, социально ориентированных некоммерческих организаций»</t>
  </si>
  <si>
    <t>0320000000</t>
  </si>
  <si>
    <t>Основное мероприятие «Развитие и поддержка малого и среднего предпринимательства, социально-ориентированных некоммерческих организаций»</t>
  </si>
  <si>
    <t>0320100000</t>
  </si>
  <si>
    <t>Софинансирование расходов на реализацию муниципальных программ поддержки социально ориентированных некоммерческих организаций</t>
  </si>
  <si>
    <t>03201W1500</t>
  </si>
  <si>
    <t>Реализация муниципальных программ поддержки социально ориентированных некоммерческих организаций</t>
  </si>
  <si>
    <t>0320141500</t>
  </si>
  <si>
    <t>ЖИЛИЩНО-КОММУНАЛЬНОЕ ХОЗЯЙСТВО</t>
  </si>
  <si>
    <t>0500</t>
  </si>
  <si>
    <t>Жилищное хозяйство</t>
  </si>
  <si>
    <t>0501</t>
  </si>
  <si>
    <t>Осуществление расходов по содержанию имущества, оплата взносов на капитальный ремонт</t>
  </si>
  <si>
    <t>0510122900</t>
  </si>
  <si>
    <t>Коммунальное хозяйство</t>
  </si>
  <si>
    <t>0502</t>
  </si>
  <si>
    <t>Разработка проектно-сметной документации на строительство очистных сооружений</t>
  </si>
  <si>
    <t>0510120110</t>
  </si>
  <si>
    <r>
      <rPr>
        <sz val="8"/>
        <color rgb="FF000000"/>
        <rFont val="Times New Roman"/>
      </rPr>
      <t>Расходы на подготовку к отопительному сезону</t>
    </r>
    <r>
      <rPr>
        <sz val="11"/>
        <color rgb="FF000000"/>
        <rFont val="Calibri"/>
      </rPr>
      <t xml:space="preserve">
</t>
    </r>
  </si>
  <si>
    <t>0510120250</t>
  </si>
  <si>
    <t>Организация тепло-, газо-, водоснабжения и водоотведения населения и объектов жизнеобеспечения собственности</t>
  </si>
  <si>
    <t>0510123000</t>
  </si>
  <si>
    <t>Выполнение комплекса работ по охране и поддержанию противопожарной безопасности на полигоне твердых бытовых отходов, расположенного на территории муниципального образования "Дновский район"</t>
  </si>
  <si>
    <t>0510126010</t>
  </si>
  <si>
    <t>0510145010</t>
  </si>
  <si>
    <t>Капитальные вложения в объекты государственной (муниципальной) собственности</t>
  </si>
  <si>
    <t>05101W5010</t>
  </si>
  <si>
    <t>Благоустройство</t>
  </si>
  <si>
    <t>0503</t>
  </si>
  <si>
    <t>Расходы на проведение ремонта (реконструкции) и благоустройство воинских захоронений, памятников и памятных знаков, увековечивающих память погибших при защите Отечества, на территории муниципального образования</t>
  </si>
  <si>
    <t>0510141130</t>
  </si>
  <si>
    <t>Расходы на осуществление полномочий в сфере увековечения памяти погибших при защите Отечества</t>
  </si>
  <si>
    <t>0510142210</t>
  </si>
  <si>
    <t>Муниципальная программа "Формирование комфортной городской среды в г. Дно Дновского района"</t>
  </si>
  <si>
    <t>0900000000</t>
  </si>
  <si>
    <t>Подпрограмма муниципальной программы "Благоустройство дворовых территорий и общественных территорий общего пользования г.Дно Дновского района"</t>
  </si>
  <si>
    <t>0910000000</t>
  </si>
  <si>
    <t>Основное мероприятие «Благоустройство дворовых территорий и территорий общего пользования г. Дно Дновского района»</t>
  </si>
  <si>
    <t>0910100000</t>
  </si>
  <si>
    <t>Расходы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</si>
  <si>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091F255550</t>
  </si>
  <si>
    <t>ОБРАЗОВАНИЕ</t>
  </si>
  <si>
    <t>0700</t>
  </si>
  <si>
    <t>Дошкольное образование</t>
  </si>
  <si>
    <t>0701</t>
  </si>
  <si>
    <t>Подпрограмма муниципальной программы «Развитие дошкольного, общего, дополнительного образования»</t>
  </si>
  <si>
    <t>0110000000</t>
  </si>
  <si>
    <t>Основное мероприятие «Дошкольное образование»</t>
  </si>
  <si>
    <t>0110100000</t>
  </si>
  <si>
    <t>Софинансирование расходов на осуществления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осваивающими образовательные программы дошкольного образования в организациях, осуществляющих образовательную деятельность</t>
  </si>
  <si>
    <t>01101W1400</t>
  </si>
  <si>
    <t>Расходы на обеспечение деятельности  (оказание услуг) муниципальных учреждений в рамках основного мероприятия  «Дошкольное образование» муниципальной программы  «Развитие образования, молодежной политики  и физической культуры и спорта  в муниципальном образовании»</t>
  </si>
  <si>
    <t>0110100790</t>
  </si>
  <si>
    <t>Создание условий для осуществления присмотра и ухода за детьми-инвалидами, детьми-сиротами и детьми, оставшимся без попечения родителей, а также за детьми с туберкулезной интоксикацией, осваивающими образовательные программы дошкольного образования в организациях, осуществляющих образовательную деятельность</t>
  </si>
  <si>
    <t>0110141400</t>
  </si>
  <si>
    <t>Реализация прав на получение общедоступного и бесплатного дошкольного образования в дошкольных образовательных организациях, общедоступного и бесплатного дошкольного, начального общего, основного общего, среднего общего образования, дополнительного образования детей в общеобразовательных организациях</t>
  </si>
  <si>
    <t>0110142010</t>
  </si>
  <si>
    <r>
      <t xml:space="preserve">Расходы на воспитание и обучение детей-инвалидов в муниципальных </t>
    </r>
    <r>
      <rPr>
        <sz val="8"/>
        <color rgb="FF000000"/>
        <rFont val="Times New Roman"/>
      </rPr>
      <t>дошкольных обра</t>
    </r>
    <r>
      <rPr>
        <sz val="8"/>
        <color rgb="FF000000"/>
        <rFont val="Times New Roman"/>
      </rPr>
      <t>зовательных учреждениях</t>
    </r>
  </si>
  <si>
    <t>0110143020</t>
  </si>
  <si>
    <t>Мероприятия , направленные на укрепление пожарной безопасности муниципального образования</t>
  </si>
  <si>
    <t>Общее образование</t>
  </si>
  <si>
    <t>0702</t>
  </si>
  <si>
    <t>Основное мероприятие «Общее образование»</t>
  </si>
  <si>
    <t>0110200000</t>
  </si>
  <si>
    <t>Расходы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</si>
  <si>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011ЕВ51790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</si>
  <si>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</si>
  <si>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01102L3040</t>
  </si>
  <si>
    <t>Софинансирование мероприятия по организации питания в муниципальных общеобразовательных учреждениях</t>
  </si>
  <si>
    <t>01102W1040</t>
  </si>
  <si>
    <t>Расходы на обеспечение деятельности  (оказание услуг) муниципальных учреждений в рамках основного мероприятия  «Общее образование» муниципальной программы  «Развитие образования, молодежной политики  и физической культуры и спорта  в муниципальном образовании»</t>
  </si>
  <si>
    <t>0110200790</t>
  </si>
  <si>
    <t>Расходы на организацию двухразового питания обучающихся с ограниченными возможностями здоровья в муниципальных образовательных организациях за счет средств местного бюджета</t>
  </si>
  <si>
    <t>0110220470</t>
  </si>
  <si>
    <t>Мероприятия по организации питания в муниципальных общеобразовательных учреждениях</t>
  </si>
  <si>
    <t>0110241040</t>
  </si>
  <si>
    <t>0110242010</t>
  </si>
  <si>
    <t>Расходы на выплату вознаграждения за выполнение функций классного руководителя педагогическим работникам муниципальных образовательных учреждений</t>
  </si>
  <si>
    <t>0110242020</t>
  </si>
  <si>
    <t>Компенсация расходов по оплате коммунальных услуг работникам, проживающим и работающим в сельских населенных пунктах, рабочих поселках (поселках городского типа)</t>
  </si>
  <si>
    <t>0110242150</t>
  </si>
  <si>
    <t>Расходы на предоставление педагогическим работникам муниципальных образовательных организаций отдельных мер социальной поддержки, предусмотренных Законом Псковской области «Об образовании в Псковской области»</t>
  </si>
  <si>
    <t>0110242170</t>
  </si>
  <si>
    <t>Дополнительное образование детей</t>
  </si>
  <si>
    <t>0703</t>
  </si>
  <si>
    <t>Основное мероприятие «Дополнительное образование»</t>
  </si>
  <si>
    <t>0110300000</t>
  </si>
  <si>
    <t>Расходы на обеспечение деятельности  (оказание услуг) муниципальных учреждений в рамках основного мероприятия  «Дополнительное образование» муниципальной программы  «Развитие образования, молодежной политики  и физической культуры и спорта  в муниципальном образовании»</t>
  </si>
  <si>
    <t>0110300790</t>
  </si>
  <si>
    <t>0110342010</t>
  </si>
  <si>
    <r>
      <rPr>
        <sz val="8"/>
        <color rgb="FF000000"/>
        <rFont val="Times New Roman"/>
      </rPr>
      <t>0703</t>
    </r>
  </si>
  <si>
    <t>Реализация инициативного проекта "Центр маленького гения. Продолжение"</t>
  </si>
  <si>
    <t>0110341830</t>
  </si>
  <si>
    <t>Софинансирование расходов на реализацию инициативного проекта "Центр маленького гения. Продолжение"</t>
  </si>
  <si>
    <t>01103W1830</t>
  </si>
  <si>
    <t>Расходы на реализацию инициативного проекта "Центр маленького гения. Продолжение" за счет инициативных платежей физических лиц и партнёров проекта</t>
  </si>
  <si>
    <t>0110320480</t>
  </si>
  <si>
    <t>Подпрограмма муниципальной программы "Дополнительное образование в сфере культуры и искусства""</t>
  </si>
  <si>
    <t>0240000000</t>
  </si>
  <si>
    <t>Основное мероприятие "Предоставление дополнительного образования в сфере искусства"</t>
  </si>
  <si>
    <t>0240100000</t>
  </si>
  <si>
    <t>Расходы на обеспечение деятельности  (оказание услуг) муниципальных учреждений в рамках основного мероприятия  «Дополнительное образование в сфере культуры и искусства» муниципальной программы  «Развитие культуры в муниципальном образовании»</t>
  </si>
  <si>
    <t>0240100790</t>
  </si>
  <si>
    <t>0240142170</t>
  </si>
  <si>
    <t>Молодежная политика</t>
  </si>
  <si>
    <t>0707</t>
  </si>
  <si>
    <t>Основное мероприятие «Патриотическое воспитание»</t>
  </si>
  <si>
    <t>0120100000</t>
  </si>
  <si>
    <t>Мероприятия патриотической направленности</t>
  </si>
  <si>
    <t>0120120400</t>
  </si>
  <si>
    <t>Подпрограмма муниципальной программы «Развитие культуры»</t>
  </si>
  <si>
    <t>0210000000</t>
  </si>
  <si>
    <t>Основное мероприятие «Развитие системы культурно-досугового обслуживания населения»</t>
  </si>
  <si>
    <t>0210200000</t>
  </si>
  <si>
    <t>Расходы на обеспечение деятельности (оказание услуг) муниципальных учреждений в рамках основного мероприятия «Развитие системы культурно- досугового обслуживания населения</t>
  </si>
  <si>
    <t>0210221400</t>
  </si>
  <si>
    <t>Другие вопросы в области образования</t>
  </si>
  <si>
    <t>0709</t>
  </si>
  <si>
    <t>Выплата компенсации педагогическим работникам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</t>
  </si>
  <si>
    <t>0110242190</t>
  </si>
  <si>
    <t>Основное мероприятие «Проведение мероприятия по организации отдыха детей в каникулярное время»</t>
  </si>
  <si>
    <t>0110400000</t>
  </si>
  <si>
    <t>Мероприятия по проведению оздоровительной кампании детей</t>
  </si>
  <si>
    <t>0110420300</t>
  </si>
  <si>
    <t>Реализация мероприятий по привлечению молодых специалистов – обеспечение мер поддержки (ежегодного материального стимулирования) гражданам, проходящим целевое обучение по образовательным программам среднего профессионального и высшего образования по педагогическим специальностям</t>
  </si>
  <si>
    <t>0120220550</t>
  </si>
  <si>
    <t>КУЛЬТУРА, КИНЕМАТОГРАФИЯ</t>
  </si>
  <si>
    <t>0800</t>
  </si>
  <si>
    <t>Культура</t>
  </si>
  <si>
    <t>0801</t>
  </si>
  <si>
    <t>Основное мероприятие «Развитие библиотечного дела»</t>
  </si>
  <si>
    <t>0210100000</t>
  </si>
  <si>
    <t>Расходы на обеспечение деятельности (оказание услуг) муниципальных учреждений в рамках основного мероприятия «Развитие библиотечного дела»</t>
  </si>
  <si>
    <t>0210121000</t>
  </si>
  <si>
    <t>Компенсация расходов по оплате коммунальных услуг работникам библиотечного дела, проживающим и работающим в сельских населенных пунктах, рабочих поселках (поселках городского типа)</t>
  </si>
  <si>
    <t>0210121200</t>
  </si>
  <si>
    <r>
      <rPr>
        <sz val="8"/>
        <color rgb="FF000000"/>
        <rFont val="Times New Roman"/>
      </rPr>
      <t>Расходы на обеспечение развития и укрепления материально-технической базы домов культуры в населенных пунктах с числом жителей до 50 тыс.человек</t>
    </r>
  </si>
  <si>
    <r>
      <rPr>
        <sz val="8"/>
        <color rgb="FF000000"/>
        <rFont val="Times New Roman"/>
      </rPr>
      <t>02102L4670</t>
    </r>
  </si>
  <si>
    <t>Компенсация расходов по оплате коммунальных услуг работникам культурно-досугового обслуживания, проживающим и работающим в сельских населенных пунктах, рабочих поселках (поселках городского типа)</t>
  </si>
  <si>
    <t>0210221600</t>
  </si>
  <si>
    <t>Другие вопросы в области культуры, кинематографии</t>
  </si>
  <si>
    <t>0804</t>
  </si>
  <si>
    <t>Информационное продвижение туристических продуктов</t>
  </si>
  <si>
    <t>0230121160</t>
  </si>
  <si>
    <t>СОЦИАЛЬНАЯ ПОЛИТИКА</t>
  </si>
  <si>
    <t>1000</t>
  </si>
  <si>
    <t>Пенсионное обеспечение</t>
  </si>
  <si>
    <t>1001</t>
  </si>
  <si>
    <t>Подпрограмма муниципальной программы «Социальная поддержка граждан и реализация демографической политики»</t>
  </si>
  <si>
    <t>0740000000</t>
  </si>
  <si>
    <t>Основное мероприятие «Социальная поддержка граждан и реализация демографической политики»</t>
  </si>
  <si>
    <t>0740100000</t>
  </si>
  <si>
    <t>Доплаты к пенсиям муниципальным служащим</t>
  </si>
  <si>
    <t>0740125400</t>
  </si>
  <si>
    <t>Выплата доплат к трудовым пенсиям лицам, замещавшим должности в органах государственной власти и управления районов Псковской области и городов Пскова, и Великие Луки, должности в органах местного самоуправления до 13 марта 1997 года</t>
  </si>
  <si>
    <t>0740142070</t>
  </si>
  <si>
    <t>Охрана семьи и детства</t>
  </si>
  <si>
    <t>1004</t>
  </si>
  <si>
    <t>Выплата компенсации части родительской платы за присмотр и уход за детьми, осваивающими  образовательные программы дошкольного образования в организациях, осуществляющих образовательную деятельность</t>
  </si>
  <si>
    <t>0110142040</t>
  </si>
  <si>
    <t>Основное мероприятие «Организация и осуществление деятельности по опеке и попечительству в отношении несовершеннолетних»</t>
  </si>
  <si>
    <t>0130100000</t>
  </si>
  <si>
    <t>Предоставление жилых помещений детям-сиротам и  детям, оставшимся без попечения родителей, лицам из их числа  по договорам найма специализированных жилых помещений.</t>
  </si>
  <si>
    <t>01301А0820</t>
  </si>
  <si>
    <t>400</t>
  </si>
  <si>
    <t>Другие вопросы в области социальной политики</t>
  </si>
  <si>
    <t>1006</t>
  </si>
  <si>
    <t>Основное мероприятие «Развитие и поддержка малого и среднего предпринимательства, социально ориентированных некоммерческих организаций»</t>
  </si>
  <si>
    <t>Расходы на финансирование мероприятий по поддержке реализации добровольческих, общественных и молодежных инициатив и проектов</t>
  </si>
  <si>
    <t>0320120350</t>
  </si>
  <si>
    <t>Содействие активному участию пожилых граждан в жизни общества</t>
  </si>
  <si>
    <t>0740127600</t>
  </si>
  <si>
    <t>Предоставление субсидий общественной организации инвалидов</t>
  </si>
  <si>
    <t>0740127601</t>
  </si>
  <si>
    <t>ФИЗИЧЕСКАЯ КУЛЬТУРА И СПОРТ</t>
  </si>
  <si>
    <t>1100</t>
  </si>
  <si>
    <t>Физическая культура</t>
  </si>
  <si>
    <t>1101</t>
  </si>
  <si>
    <t>Расходы на обеспечение деятельности  (оказание услуг) муниципальных учреждений в рамках основного мероприятия  «Дополнительное образование в сфере культуры» муниципальной программы  «Развитие образования, молодежной политики  и физической культуры и спорта  в муниципальном образовании»</t>
  </si>
  <si>
    <t>Подпрограмма муниципальной программы «Развитие физической культуры и спорта»</t>
  </si>
  <si>
    <t>0140000000</t>
  </si>
  <si>
    <t>Основное мероприятие «Развитие физической культуры и спорта»</t>
  </si>
  <si>
    <t>0140100000</t>
  </si>
  <si>
    <t>Софинансирование расходов на проведение районных и областных спортивных мероприятий</t>
  </si>
  <si>
    <t>01401W1140</t>
  </si>
  <si>
    <t>Мероприятия в области физической культуры и спорта</t>
  </si>
  <si>
    <t>0140120800</t>
  </si>
  <si>
    <t>Укрепление материально-технической базы</t>
  </si>
  <si>
    <t>0140120900</t>
  </si>
  <si>
    <t>Расходы на содержание стадиона "Локомотив"</t>
  </si>
  <si>
    <t>0140120907</t>
  </si>
  <si>
    <t>Обеспечение мер, направленных на привлечение жителей области к регулярным занятиям физической культурой и спортом</t>
  </si>
  <si>
    <t>0140141140</t>
  </si>
  <si>
    <t>Массовый спорт</t>
  </si>
  <si>
    <t xml:space="preserve">Муниципальная программа «Развитие образования, молодежной политики, физической культуры и спорта  в муниципальном образовании "Дновский район" </t>
  </si>
  <si>
    <t>Основное мероприятие  «Развитие физической культуры и спорта»</t>
  </si>
  <si>
    <r>
      <rPr>
        <sz val="8"/>
        <rFont val="Times New Roman"/>
      </rPr>
      <t>Расходы на содержание физкультурно-оздоровительного комплекса открытого типа, построенного в рамках федерального проекта «Спорт – норма жизни»</t>
    </r>
  </si>
  <si>
    <t>0140120905</t>
  </si>
  <si>
    <r>
      <rPr>
        <sz val="8"/>
        <color rgb="FF000000"/>
        <rFont val="Times New Roman"/>
      </rPr>
      <t xml:space="preserve">Расходы на содержание </t>
    </r>
    <r>
      <rPr>
        <sz val="8"/>
        <color rgb="FF222222"/>
        <rFont val="Times New Roman"/>
      </rPr>
      <t>спортивной площадки, построенной по программе «Газпром-детям»</t>
    </r>
  </si>
  <si>
    <t>0140120906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</si>
  <si>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</si>
  <si>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</si>
  <si>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Обслуживание муниципального долга</t>
  </si>
  <si>
    <t>9090020007</t>
  </si>
  <si>
    <t>Обслуживание государственного (муниципального) долга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</si>
  <si>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</si>
  <si>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</si>
  <si>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</si>
  <si>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</si>
  <si>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Софинансирование на выравнивание бюджетной обеспеченности поселений из бюджета муниципального района</t>
  </si>
  <si>
    <t>07301W1250</t>
  </si>
  <si>
    <t>Выравнивание бюджетной обеспеченности поселений из бюджета муниципального района</t>
  </si>
  <si>
    <t>0730141250</t>
  </si>
  <si>
    <t>Исполнение полномочий органов государственной власти Псковской области по расчету и предоставлению дотаций бюджетам поселений</t>
  </si>
  <si>
    <t>0730142110</t>
  </si>
  <si>
    <t>ИТОГО:</t>
  </si>
  <si>
    <t>Софинансирование расходов на реализацию проекта ТОС «Безопасный детский сад – 2»</t>
  </si>
  <si>
    <t>01101W1564</t>
  </si>
  <si>
    <t>Расходы на реализацию проекта ТОС "Безопасный детский сад – 2"за счет инициативных платежей физических лиц и партнеров проекта</t>
  </si>
  <si>
    <t>0110121564</t>
  </si>
  <si>
    <t>Расходы на реализацию проекта ТОС "Безопасный детский сад – 2"</t>
  </si>
  <si>
    <t>0110141564</t>
  </si>
  <si>
    <t>Софинансирование расходов на изготовление проектно-сметной документации для установки модульной котельной детского сада "Солнышко"</t>
  </si>
  <si>
    <t>Расходы на изготовление проектно-сметной документации для установки модульной котельной детского сада "Солнышко"</t>
  </si>
  <si>
    <t>01101W1010</t>
  </si>
  <si>
    <t>0110141010</t>
  </si>
  <si>
    <t>Софинансирование расходов на реализацию проекта ТОС «Благоустройство школьной спортивной площадки»</t>
  </si>
  <si>
    <t>01102W1561</t>
  </si>
  <si>
    <t>Расходы на реализацию проекта ТОС "Благоустройство школьной спортивной площадки" за счет инициативных платежей физических лиц и партнеров проекта</t>
  </si>
  <si>
    <t>0110221561</t>
  </si>
  <si>
    <t>Расходы на реализацию проекта ТОС «Благоустройство школьной спортивной площадки»</t>
  </si>
  <si>
    <t>0110241561</t>
  </si>
  <si>
    <t>Расходы на благоустройство части территории муниципального общеобразовательного учреждения "Средняя общеобразовательная школа № 1" в г. Дно"</t>
  </si>
  <si>
    <t>0110220440</t>
  </si>
  <si>
    <t>Расходы на реализацию проекта ТОС «Гостеприимное крыльцо»</t>
  </si>
  <si>
    <t>Расходы на реализацию проекта ТОС «Современный зал хореографии для ансамбля танца «Контраст»</t>
  </si>
  <si>
    <t>Расходы на реализацию проекта ТОС «Культурный центр – 1 ч.»</t>
  </si>
  <si>
    <t>0210241562</t>
  </si>
  <si>
    <t>0210241565</t>
  </si>
  <si>
    <t>0210241566</t>
  </si>
  <si>
    <t xml:space="preserve">Расходы на реализацию проекта ТОС «Гостеприимное крыльцо» за счет инициативных платежей физических лиц и партнеров проекта </t>
  </si>
  <si>
    <t>Расходы на реализацию проекта ТОС «Современный зал хореографии для ансамбля танца «Контраст» за счет инициативных платежей физических лиц и партнеров проекта</t>
  </si>
  <si>
    <t>Расходы на реализацию проекта ТОС «Культурный центр – 1 ч.» за счет инициативных платежей физических лиц и партнеров проекта</t>
  </si>
  <si>
    <t>0210221562</t>
  </si>
  <si>
    <t>0210221565</t>
  </si>
  <si>
    <t>0210221566</t>
  </si>
  <si>
    <t>Софинансирование расходов на реализацию проекта ТОС «Гостеприимное крыльцо»</t>
  </si>
  <si>
    <t>Софинансирование расходов на реализацию проекта ТОС «Современный зал хореографии для ансамбля танца «Контраст»</t>
  </si>
  <si>
    <t xml:space="preserve">Софинансирование расходов на реализацию проекта ТОС «Культурный центр – 1 ч.» </t>
  </si>
  <si>
    <t>02102W1562</t>
  </si>
  <si>
    <t>02102W1565</t>
  </si>
  <si>
    <t>02102W1566</t>
  </si>
  <si>
    <t>Расходы на строительство, реконструкцию, капитальный ремонт и техническое перевооружение объектов коммунальной инфраструктуры</t>
  </si>
  <si>
    <t>Софинансирование расходов на строительство, реконструкцию, капитальный ремонт и техническое перевооружение объектов коммунальной инфраструктуры</t>
  </si>
  <si>
    <t>Софинансирование расходов на реализацию проекта ТОС «Вода – начало жизни»</t>
  </si>
  <si>
    <t>05101W1563</t>
  </si>
  <si>
    <t>Расходы на реализацию проекта ТОС «Вода – начало жизни» за счет инициативных платежей физических лиц и партнеров проекта</t>
  </si>
  <si>
    <t>0510121563</t>
  </si>
  <si>
    <t xml:space="preserve">Расходы на реализацию проекта ТОС «Вода – начало жизни» </t>
  </si>
  <si>
    <t>0510141563</t>
  </si>
  <si>
    <t>Выплаты, связанные с празднованием 9 мая</t>
  </si>
  <si>
    <t>0740127602</t>
  </si>
  <si>
    <t>Социальная поддержка граждан за счет средств резервного фонда Администрации области</t>
  </si>
  <si>
    <t>0740100010</t>
  </si>
  <si>
    <t>Расходы на ежемесячное денежное вознаграждение за классное руководство педагогическим работникам 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</si>
  <si>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01102L3030</t>
  </si>
  <si>
    <t>Проведение экспертизы нежилого здания спортивного комплекса в г.Дно</t>
  </si>
  <si>
    <t>0140120908</t>
  </si>
  <si>
    <t>Поощрение муниципальных управленческих команд за достижение показателей деятельности органов исполнительной власти</t>
  </si>
  <si>
    <t>0710175490</t>
  </si>
  <si>
    <t>0710142220</t>
  </si>
  <si>
    <t>0240120120</t>
  </si>
  <si>
    <t>Расходы на реализацию инициативных проектов за счет инициативных платежей юридических и физических лиц</t>
  </si>
  <si>
    <t>0750121301</t>
  </si>
  <si>
    <t>Расходы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государственных, муниципальных общеобразовательных организаций, профессиональных образовательных организаций</t>
  </si>
  <si>
    <t>0110250500</t>
  </si>
  <si>
    <t>Софинансирование расходов на развитие и совершенствование института добровольных дружин</t>
  </si>
  <si>
    <t>04202W1350</t>
  </si>
  <si>
    <t>Расходы на оплату строительного контроля</t>
  </si>
  <si>
    <t>0510120130</t>
  </si>
  <si>
    <t xml:space="preserve">Приложение 16 </t>
  </si>
  <si>
    <t>Утверждено Решением о бюджете, руб.</t>
  </si>
  <si>
    <t xml:space="preserve"> Исполнение, руб. </t>
  </si>
  <si>
    <t xml:space="preserve"> Исполнение,%  </t>
  </si>
  <si>
    <t>Расходы на разработку проектно-сметной документации на капитальный ремонт здания Дновской детской школы искусств</t>
  </si>
</sst>
</file>

<file path=xl/styles.xml><?xml version="1.0" encoding="utf-8"?>
<styleSheet xmlns="http://schemas.openxmlformats.org/spreadsheetml/2006/main">
  <numFmts count="1">
    <numFmt numFmtId="164" formatCode="_-* #,##0.00&quot;р.&quot;_-;\-* #,##0.00&quot;р.&quot;_-;_-* \-??&quot;р.&quot;_-;_-@_-"/>
  </numFmts>
  <fonts count="23">
    <font>
      <sz val="11"/>
      <color rgb="FF000000"/>
      <name val="Calibri"/>
    </font>
    <font>
      <sz val="10"/>
      <color rgb="FF000000"/>
      <name val="Times New Roman"/>
    </font>
    <font>
      <b/>
      <sz val="8"/>
      <color rgb="FF000000"/>
      <name val="Times New Roman"/>
    </font>
    <font>
      <sz val="8"/>
      <name val="Times New Roman"/>
    </font>
    <font>
      <sz val="8"/>
      <color rgb="FF000000"/>
      <name val="Times New Roman"/>
    </font>
    <font>
      <b/>
      <i/>
      <sz val="8"/>
      <color rgb="FF000000"/>
      <name val="Times New Roman"/>
    </font>
    <font>
      <i/>
      <sz val="8"/>
      <color rgb="FF000000"/>
      <name val="Times New Roman"/>
    </font>
    <font>
      <b/>
      <i/>
      <sz val="8"/>
      <name val="Times New Roman"/>
    </font>
    <font>
      <i/>
      <sz val="8"/>
      <name val="Times New Roman"/>
    </font>
    <font>
      <b/>
      <sz val="8"/>
      <name val="Times New Roman"/>
    </font>
    <font>
      <sz val="8"/>
      <color rgb="FF22272F"/>
      <name val="Times New Roman"/>
    </font>
    <font>
      <b/>
      <i/>
      <sz val="8"/>
      <color theme="1"/>
      <name val="Times New Roman"/>
    </font>
    <font>
      <i/>
      <sz val="8"/>
      <color theme="1"/>
      <name val="Times New Roman"/>
    </font>
    <font>
      <sz val="8"/>
      <color theme="1"/>
      <name val="Times New Roman"/>
    </font>
    <font>
      <sz val="8"/>
      <color rgb="FF222222"/>
      <name val="Times New Roman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i/>
      <sz val="8"/>
      <color rgb="FF000000"/>
      <name val="Times New Roman"/>
      <family val="1"/>
      <charset val="204"/>
    </font>
    <font>
      <b/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164" fontId="0" fillId="0" borderId="0">
      <alignment vertical="top" wrapText="1"/>
    </xf>
  </cellStyleXfs>
  <cellXfs count="105">
    <xf numFmtId="164" fontId="1" fillId="0" borderId="0" xfId="0" applyNumberFormat="1" applyFont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wrapText="1"/>
    </xf>
    <xf numFmtId="164" fontId="4" fillId="2" borderId="0" xfId="0" applyNumberFormat="1" applyFont="1" applyFill="1" applyAlignment="1">
      <alignment vertical="top" wrapText="1"/>
    </xf>
    <xf numFmtId="0" fontId="0" fillId="0" borderId="0" xfId="0" applyNumberFormat="1" applyFont="1" applyAlignment="1"/>
    <xf numFmtId="4" fontId="15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right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Fill="1" applyAlignment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vertical="top" wrapText="1"/>
    </xf>
    <xf numFmtId="49" fontId="22" fillId="0" borderId="1" xfId="0" applyNumberFormat="1" applyFont="1" applyFill="1" applyBorder="1" applyAlignment="1">
      <alignment horizontal="center" vertical="top" wrapText="1"/>
    </xf>
    <xf numFmtId="0" fontId="22" fillId="0" borderId="1" xfId="0" applyNumberFormat="1" applyFont="1" applyFill="1" applyBorder="1" applyAlignment="1">
      <alignment horizontal="center" vertical="top" wrapText="1"/>
    </xf>
    <xf numFmtId="4" fontId="21" fillId="0" borderId="1" xfId="0" applyNumberFormat="1" applyFont="1" applyFill="1" applyBorder="1" applyAlignment="1">
      <alignment horizontal="right" vertical="top" wrapText="1"/>
    </xf>
    <xf numFmtId="0" fontId="19" fillId="0" borderId="1" xfId="0" applyNumberFormat="1" applyFont="1" applyFill="1" applyBorder="1" applyAlignment="1">
      <alignment vertical="top" wrapText="1"/>
    </xf>
    <xf numFmtId="49" fontId="19" fillId="0" borderId="1" xfId="0" applyNumberFormat="1" applyFont="1" applyFill="1" applyBorder="1" applyAlignment="1">
      <alignment horizontal="center" vertical="top" wrapText="1"/>
    </xf>
    <xf numFmtId="0" fontId="19" fillId="0" borderId="1" xfId="0" applyNumberFormat="1" applyFont="1" applyFill="1" applyBorder="1" applyAlignment="1">
      <alignment horizontal="center" vertical="top" wrapText="1"/>
    </xf>
    <xf numFmtId="4" fontId="17" fillId="0" borderId="1" xfId="0" applyNumberFormat="1" applyFont="1" applyFill="1" applyBorder="1" applyAlignment="1">
      <alignment horizontal="right" vertical="top" wrapText="1"/>
    </xf>
    <xf numFmtId="0" fontId="15" fillId="0" borderId="1" xfId="0" applyNumberFormat="1" applyFont="1" applyFill="1" applyBorder="1" applyAlignment="1">
      <alignment vertical="top" wrapText="1"/>
    </xf>
    <xf numFmtId="49" fontId="15" fillId="0" borderId="1" xfId="0" applyNumberFormat="1" applyFont="1" applyFill="1" applyBorder="1" applyAlignment="1">
      <alignment horizontal="center" vertical="top" wrapText="1"/>
    </xf>
    <xf numFmtId="0" fontId="15" fillId="0" borderId="1" xfId="0" applyNumberFormat="1" applyFont="1" applyFill="1" applyBorder="1" applyAlignment="1">
      <alignment horizontal="center" vertical="top" wrapText="1"/>
    </xf>
    <xf numFmtId="4" fontId="16" fillId="0" borderId="1" xfId="0" applyNumberFormat="1" applyFont="1" applyFill="1" applyBorder="1" applyAlignment="1">
      <alignment horizontal="right" vertical="top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vertical="top" wrapText="1"/>
    </xf>
    <xf numFmtId="49" fontId="16" fillId="0" borderId="1" xfId="0" applyNumberFormat="1" applyFont="1" applyFill="1" applyBorder="1" applyAlignment="1">
      <alignment horizontal="center" vertical="top" wrapText="1"/>
    </xf>
    <xf numFmtId="0" fontId="20" fillId="0" borderId="1" xfId="0" applyNumberFormat="1" applyFont="1" applyFill="1" applyBorder="1" applyAlignment="1">
      <alignment vertical="top" wrapText="1"/>
    </xf>
    <xf numFmtId="4" fontId="16" fillId="0" borderId="1" xfId="0" applyNumberFormat="1" applyFont="1" applyFill="1" applyBorder="1" applyAlignment="1">
      <alignment horizontal="right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justify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3" fillId="0" borderId="5" xfId="0" applyNumberFormat="1" applyFont="1" applyFill="1" applyBorder="1" applyAlignment="1">
      <alignment vertical="center" wrapText="1"/>
    </xf>
    <xf numFmtId="0" fontId="16" fillId="0" borderId="1" xfId="0" applyNumberFormat="1" applyFont="1" applyFill="1" applyBorder="1" applyAlignment="1">
      <alignment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2" fillId="0" borderId="4" xfId="0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vertical="center" wrapText="1"/>
    </xf>
    <xf numFmtId="0" fontId="17" fillId="0" borderId="1" xfId="0" applyNumberFormat="1" applyFont="1" applyFill="1" applyBorder="1" applyAlignment="1">
      <alignment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vertical="center" wrapText="1"/>
    </xf>
    <xf numFmtId="0" fontId="20" fillId="0" borderId="1" xfId="0" applyNumberFormat="1" applyFont="1" applyFill="1" applyBorder="1" applyAlignment="1">
      <alignment horizontal="center" vertical="top" wrapText="1"/>
    </xf>
    <xf numFmtId="4" fontId="20" fillId="0" borderId="1" xfId="0" applyNumberFormat="1" applyFont="1" applyFill="1" applyBorder="1" applyAlignment="1">
      <alignment horizontal="right" vertical="top" wrapText="1"/>
    </xf>
    <xf numFmtId="0" fontId="21" fillId="0" borderId="1" xfId="0" applyNumberFormat="1" applyFont="1" applyFill="1" applyBorder="1" applyAlignment="1">
      <alignment vertical="top" wrapText="1"/>
    </xf>
    <xf numFmtId="0" fontId="21" fillId="0" borderId="1" xfId="0" applyNumberFormat="1" applyFont="1" applyFill="1" applyBorder="1" applyAlignment="1">
      <alignment horizontal="center" vertical="top" wrapText="1"/>
    </xf>
    <xf numFmtId="0" fontId="17" fillId="0" borderId="1" xfId="0" applyNumberFormat="1" applyFont="1" applyFill="1" applyBorder="1" applyAlignment="1">
      <alignment vertical="top" wrapText="1"/>
    </xf>
    <xf numFmtId="0" fontId="17" fillId="0" borderId="1" xfId="0" applyNumberFormat="1" applyFont="1" applyFill="1" applyBorder="1" applyAlignment="1">
      <alignment horizontal="center" vertical="top" wrapText="1"/>
    </xf>
    <xf numFmtId="0" fontId="16" fillId="0" borderId="1" xfId="0" applyNumberFormat="1" applyFont="1" applyFill="1" applyBorder="1" applyAlignment="1">
      <alignment horizontal="center" vertical="top" wrapText="1"/>
    </xf>
    <xf numFmtId="0" fontId="16" fillId="0" borderId="1" xfId="0" applyNumberFormat="1" applyFont="1" applyFill="1" applyBorder="1" applyAlignment="1">
      <alignment horizontal="left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Alignment="1">
      <alignment vertical="top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44"/>
  <sheetViews>
    <sheetView tabSelected="1" topLeftCell="A523" workbookViewId="0">
      <selection activeCell="F446" sqref="F446"/>
    </sheetView>
  </sheetViews>
  <sheetFormatPr defaultColWidth="8.140625" defaultRowHeight="15"/>
  <cols>
    <col min="1" max="1" width="57" style="10" customWidth="1"/>
    <col min="2" max="2" width="5.5703125" style="11" customWidth="1"/>
    <col min="3" max="3" width="11" style="11" customWidth="1"/>
    <col min="4" max="4" width="5.28515625" style="11" customWidth="1"/>
    <col min="5" max="5" width="14" style="10" customWidth="1"/>
    <col min="6" max="6" width="12.5703125" style="10" customWidth="1"/>
    <col min="7" max="7" width="10.28515625" style="10" customWidth="1"/>
  </cols>
  <sheetData>
    <row r="1" spans="1:9" hidden="1">
      <c r="A1" s="10">
        <v>7</v>
      </c>
    </row>
    <row r="2" spans="1:9" ht="111.75" customHeight="1">
      <c r="A2" s="100"/>
      <c r="B2" s="104" t="s">
        <v>513</v>
      </c>
      <c r="C2" s="104"/>
      <c r="D2" s="104"/>
      <c r="E2" s="104"/>
      <c r="F2" s="104"/>
      <c r="G2" s="104"/>
      <c r="H2" s="1"/>
      <c r="I2" s="1"/>
    </row>
    <row r="3" spans="1:9" ht="33.75" customHeight="1">
      <c r="A3" s="103" t="s">
        <v>0</v>
      </c>
      <c r="B3" s="103"/>
      <c r="C3" s="103"/>
      <c r="D3" s="103"/>
      <c r="E3" s="103"/>
      <c r="F3" s="103"/>
      <c r="G3" s="103"/>
      <c r="H3" s="1"/>
      <c r="I3" s="1"/>
    </row>
    <row r="4" spans="1:9" ht="15.75" customHeight="1">
      <c r="A4" s="100"/>
      <c r="B4" s="100"/>
      <c r="C4" s="100"/>
      <c r="D4" s="100"/>
      <c r="E4" s="12"/>
      <c r="F4" s="12"/>
      <c r="G4" s="12" t="s">
        <v>1</v>
      </c>
      <c r="H4" s="2"/>
      <c r="I4" s="2"/>
    </row>
    <row r="5" spans="1:9" ht="51" customHeight="1">
      <c r="A5" s="13" t="s">
        <v>2</v>
      </c>
      <c r="B5" s="13" t="s">
        <v>3</v>
      </c>
      <c r="C5" s="13" t="s">
        <v>4</v>
      </c>
      <c r="D5" s="13" t="s">
        <v>5</v>
      </c>
      <c r="E5" s="13" t="s">
        <v>514</v>
      </c>
      <c r="F5" s="13" t="s">
        <v>515</v>
      </c>
      <c r="G5" s="13" t="s">
        <v>516</v>
      </c>
      <c r="H5" s="1"/>
      <c r="I5" s="1"/>
    </row>
    <row r="6" spans="1:9" ht="12.75">
      <c r="A6" s="14" t="s">
        <v>6</v>
      </c>
      <c r="B6" s="15" t="s">
        <v>7</v>
      </c>
      <c r="C6" s="15"/>
      <c r="D6" s="15"/>
      <c r="E6" s="16">
        <f>E7+E13+E18+E39+E45+E62+E66+E56</f>
        <v>39959934.719999999</v>
      </c>
      <c r="F6" s="16">
        <f>F7+F13+F18+F39+F45+F62+F66+F56</f>
        <v>38644201.749999993</v>
      </c>
      <c r="G6" s="101">
        <f>F6/E6</f>
        <v>0.96707369570998125</v>
      </c>
      <c r="H6" s="1"/>
      <c r="I6" s="1"/>
    </row>
    <row r="7" spans="1:9" ht="22.5">
      <c r="A7" s="14" t="s">
        <v>8</v>
      </c>
      <c r="B7" s="15" t="s">
        <v>9</v>
      </c>
      <c r="C7" s="15"/>
      <c r="D7" s="15"/>
      <c r="E7" s="16">
        <f t="shared" ref="E7:F11" si="0">E8</f>
        <v>2352174</v>
      </c>
      <c r="F7" s="16">
        <f t="shared" si="0"/>
        <v>2351708.62</v>
      </c>
      <c r="G7" s="101">
        <f t="shared" ref="G7:G68" si="1">F7/E7</f>
        <v>0.99980214899067843</v>
      </c>
      <c r="H7" s="1"/>
      <c r="I7" s="1"/>
    </row>
    <row r="8" spans="1:9" ht="52.5">
      <c r="A8" s="17" t="s">
        <v>10</v>
      </c>
      <c r="B8" s="13" t="s">
        <v>9</v>
      </c>
      <c r="C8" s="13" t="s">
        <v>11</v>
      </c>
      <c r="D8" s="13"/>
      <c r="E8" s="18">
        <f t="shared" si="0"/>
        <v>2352174</v>
      </c>
      <c r="F8" s="18">
        <f t="shared" si="0"/>
        <v>2351708.62</v>
      </c>
      <c r="G8" s="101">
        <f t="shared" si="1"/>
        <v>0.99980214899067843</v>
      </c>
      <c r="H8" s="1"/>
      <c r="I8" s="1"/>
    </row>
    <row r="9" spans="1:9" ht="22.5">
      <c r="A9" s="19" t="s">
        <v>12</v>
      </c>
      <c r="B9" s="20" t="s">
        <v>9</v>
      </c>
      <c r="C9" s="20" t="s">
        <v>13</v>
      </c>
      <c r="D9" s="20"/>
      <c r="E9" s="21">
        <f t="shared" si="0"/>
        <v>2352174</v>
      </c>
      <c r="F9" s="21">
        <f t="shared" si="0"/>
        <v>2351708.62</v>
      </c>
      <c r="G9" s="101">
        <f t="shared" si="1"/>
        <v>0.99980214899067843</v>
      </c>
      <c r="H9" s="1"/>
      <c r="I9" s="1"/>
    </row>
    <row r="10" spans="1:9" ht="22.5">
      <c r="A10" s="22" t="s">
        <v>14</v>
      </c>
      <c r="B10" s="23" t="s">
        <v>9</v>
      </c>
      <c r="C10" s="23" t="s">
        <v>15</v>
      </c>
      <c r="D10" s="23"/>
      <c r="E10" s="24">
        <f t="shared" si="0"/>
        <v>2352174</v>
      </c>
      <c r="F10" s="24">
        <f t="shared" si="0"/>
        <v>2351708.62</v>
      </c>
      <c r="G10" s="101">
        <f t="shared" si="1"/>
        <v>0.99980214899067843</v>
      </c>
      <c r="H10" s="1"/>
      <c r="I10" s="1"/>
    </row>
    <row r="11" spans="1:9" ht="22.5">
      <c r="A11" s="14" t="s">
        <v>16</v>
      </c>
      <c r="B11" s="15" t="s">
        <v>9</v>
      </c>
      <c r="C11" s="15" t="s">
        <v>17</v>
      </c>
      <c r="D11" s="15"/>
      <c r="E11" s="16">
        <f t="shared" si="0"/>
        <v>2352174</v>
      </c>
      <c r="F11" s="16">
        <f t="shared" si="0"/>
        <v>2351708.62</v>
      </c>
      <c r="G11" s="101">
        <f t="shared" si="1"/>
        <v>0.99980214899067843</v>
      </c>
      <c r="H11" s="1"/>
      <c r="I11" s="1"/>
    </row>
    <row r="12" spans="1:9" ht="33.75">
      <c r="A12" s="7" t="s">
        <v>18</v>
      </c>
      <c r="B12" s="8" t="s">
        <v>9</v>
      </c>
      <c r="C12" s="8" t="s">
        <v>17</v>
      </c>
      <c r="D12" s="8" t="s">
        <v>19</v>
      </c>
      <c r="E12" s="6">
        <f>1812385+5789+98000+268000+168000</f>
        <v>2352174</v>
      </c>
      <c r="F12" s="6">
        <v>2351708.62</v>
      </c>
      <c r="G12" s="101">
        <f t="shared" si="1"/>
        <v>0.99980214899067843</v>
      </c>
      <c r="H12" s="1"/>
      <c r="I12" s="1"/>
    </row>
    <row r="13" spans="1:9" ht="33.75">
      <c r="A13" s="14" t="s">
        <v>20</v>
      </c>
      <c r="B13" s="15" t="s">
        <v>21</v>
      </c>
      <c r="C13" s="15"/>
      <c r="D13" s="15"/>
      <c r="E13" s="16">
        <f>E14</f>
        <v>10000</v>
      </c>
      <c r="F13" s="16">
        <f>F14</f>
        <v>6900</v>
      </c>
      <c r="G13" s="101">
        <f t="shared" si="1"/>
        <v>0.69</v>
      </c>
      <c r="H13" s="1"/>
      <c r="I13" s="1"/>
    </row>
    <row r="14" spans="1:9" ht="12.75">
      <c r="A14" s="17" t="s">
        <v>22</v>
      </c>
      <c r="B14" s="13" t="s">
        <v>21</v>
      </c>
      <c r="C14" s="13" t="s">
        <v>23</v>
      </c>
      <c r="D14" s="13"/>
      <c r="E14" s="18">
        <f>E15</f>
        <v>10000</v>
      </c>
      <c r="F14" s="18">
        <f>F15</f>
        <v>6900</v>
      </c>
      <c r="G14" s="101">
        <f t="shared" si="1"/>
        <v>0.69</v>
      </c>
      <c r="H14" s="1"/>
      <c r="I14" s="1"/>
    </row>
    <row r="15" spans="1:9" ht="12.75">
      <c r="A15" s="14" t="s">
        <v>24</v>
      </c>
      <c r="B15" s="15" t="s">
        <v>21</v>
      </c>
      <c r="C15" s="15" t="s">
        <v>25</v>
      </c>
      <c r="D15" s="15"/>
      <c r="E15" s="16">
        <f>E16+E17</f>
        <v>10000</v>
      </c>
      <c r="F15" s="16">
        <f>F16+F17</f>
        <v>6900</v>
      </c>
      <c r="G15" s="101">
        <f t="shared" si="1"/>
        <v>0.69</v>
      </c>
      <c r="H15" s="1"/>
      <c r="I15" s="1"/>
    </row>
    <row r="16" spans="1:9" ht="33.75">
      <c r="A16" s="14" t="s">
        <v>18</v>
      </c>
      <c r="B16" s="15" t="s">
        <v>21</v>
      </c>
      <c r="C16" s="15" t="s">
        <v>25</v>
      </c>
      <c r="D16" s="15" t="s">
        <v>19</v>
      </c>
      <c r="E16" s="6">
        <v>3000</v>
      </c>
      <c r="F16" s="6">
        <v>0</v>
      </c>
      <c r="G16" s="101">
        <f t="shared" si="1"/>
        <v>0</v>
      </c>
      <c r="H16" s="1"/>
      <c r="I16" s="1"/>
    </row>
    <row r="17" spans="1:9" ht="22.5">
      <c r="A17" s="7" t="s">
        <v>26</v>
      </c>
      <c r="B17" s="8" t="s">
        <v>21</v>
      </c>
      <c r="C17" s="8" t="s">
        <v>25</v>
      </c>
      <c r="D17" s="8">
        <v>200</v>
      </c>
      <c r="E17" s="6">
        <v>7000</v>
      </c>
      <c r="F17" s="6">
        <v>6900</v>
      </c>
      <c r="G17" s="101">
        <f t="shared" si="1"/>
        <v>0.98571428571428577</v>
      </c>
      <c r="H17" s="1"/>
      <c r="I17" s="1"/>
    </row>
    <row r="18" spans="1:9" ht="33.75">
      <c r="A18" s="14" t="s">
        <v>27</v>
      </c>
      <c r="B18" s="15" t="s">
        <v>28</v>
      </c>
      <c r="C18" s="15"/>
      <c r="D18" s="15"/>
      <c r="E18" s="16">
        <f>E19+E24</f>
        <v>19372859.640000001</v>
      </c>
      <c r="F18" s="16">
        <f>F19+F24</f>
        <v>19217172.469999999</v>
      </c>
      <c r="G18" s="101">
        <f t="shared" si="1"/>
        <v>0.99196364538364035</v>
      </c>
      <c r="H18" s="1"/>
      <c r="I18" s="1"/>
    </row>
    <row r="19" spans="1:9" ht="21">
      <c r="A19" s="17" t="s">
        <v>29</v>
      </c>
      <c r="B19" s="13" t="s">
        <v>28</v>
      </c>
      <c r="C19" s="13" t="s">
        <v>30</v>
      </c>
      <c r="D19" s="13"/>
      <c r="E19" s="18">
        <f t="shared" ref="E19:F22" si="2">E20</f>
        <v>27000</v>
      </c>
      <c r="F19" s="18">
        <f t="shared" si="2"/>
        <v>20800</v>
      </c>
      <c r="G19" s="101">
        <f t="shared" si="1"/>
        <v>0.77037037037037037</v>
      </c>
      <c r="H19" s="1"/>
      <c r="I19" s="1"/>
    </row>
    <row r="20" spans="1:9" ht="22.5">
      <c r="A20" s="19" t="s">
        <v>31</v>
      </c>
      <c r="B20" s="20" t="s">
        <v>28</v>
      </c>
      <c r="C20" s="20" t="s">
        <v>32</v>
      </c>
      <c r="D20" s="20"/>
      <c r="E20" s="21">
        <f t="shared" si="2"/>
        <v>27000</v>
      </c>
      <c r="F20" s="21">
        <f t="shared" si="2"/>
        <v>20800</v>
      </c>
      <c r="G20" s="101">
        <f t="shared" si="1"/>
        <v>0.77037037037037037</v>
      </c>
      <c r="H20" s="1"/>
      <c r="I20" s="1"/>
    </row>
    <row r="21" spans="1:9" ht="22.5">
      <c r="A21" s="22" t="s">
        <v>33</v>
      </c>
      <c r="B21" s="23" t="s">
        <v>28</v>
      </c>
      <c r="C21" s="23" t="s">
        <v>34</v>
      </c>
      <c r="D21" s="23"/>
      <c r="E21" s="24">
        <f t="shared" si="2"/>
        <v>27000</v>
      </c>
      <c r="F21" s="24">
        <f t="shared" si="2"/>
        <v>20800</v>
      </c>
      <c r="G21" s="101">
        <f t="shared" si="1"/>
        <v>0.77037037037037037</v>
      </c>
      <c r="H21" s="1"/>
      <c r="I21" s="1"/>
    </row>
    <row r="22" spans="1:9" ht="22.5">
      <c r="A22" s="14" t="s">
        <v>35</v>
      </c>
      <c r="B22" s="15" t="s">
        <v>28</v>
      </c>
      <c r="C22" s="15" t="s">
        <v>36</v>
      </c>
      <c r="D22" s="15"/>
      <c r="E22" s="16">
        <f t="shared" si="2"/>
        <v>27000</v>
      </c>
      <c r="F22" s="16">
        <f t="shared" si="2"/>
        <v>20800</v>
      </c>
      <c r="G22" s="101">
        <f t="shared" si="1"/>
        <v>0.77037037037037037</v>
      </c>
      <c r="H22" s="1"/>
      <c r="I22" s="1"/>
    </row>
    <row r="23" spans="1:9" ht="22.5">
      <c r="A23" s="14" t="s">
        <v>26</v>
      </c>
      <c r="B23" s="15" t="s">
        <v>28</v>
      </c>
      <c r="C23" s="15" t="s">
        <v>36</v>
      </c>
      <c r="D23" s="15" t="s">
        <v>37</v>
      </c>
      <c r="E23" s="6">
        <v>27000</v>
      </c>
      <c r="F23" s="6">
        <v>20800</v>
      </c>
      <c r="G23" s="101">
        <f t="shared" si="1"/>
        <v>0.77037037037037037</v>
      </c>
      <c r="H23" s="1"/>
      <c r="I23" s="1"/>
    </row>
    <row r="24" spans="1:9" ht="52.5">
      <c r="A24" s="17" t="s">
        <v>10</v>
      </c>
      <c r="B24" s="13" t="s">
        <v>28</v>
      </c>
      <c r="C24" s="13" t="s">
        <v>11</v>
      </c>
      <c r="D24" s="13"/>
      <c r="E24" s="18">
        <f>E25+E35</f>
        <v>19345859.640000001</v>
      </c>
      <c r="F24" s="18">
        <f>F25+F35</f>
        <v>19196372.469999999</v>
      </c>
      <c r="G24" s="101">
        <f t="shared" si="1"/>
        <v>0.9922729114765767</v>
      </c>
      <c r="H24" s="1"/>
      <c r="I24" s="1"/>
    </row>
    <row r="25" spans="1:9" ht="22.5">
      <c r="A25" s="19" t="s">
        <v>12</v>
      </c>
      <c r="B25" s="20" t="s">
        <v>28</v>
      </c>
      <c r="C25" s="20" t="s">
        <v>13</v>
      </c>
      <c r="D25" s="20"/>
      <c r="E25" s="21">
        <f>E26</f>
        <v>19320859.640000001</v>
      </c>
      <c r="F25" s="21">
        <f>F26</f>
        <v>19188372.469999999</v>
      </c>
      <c r="G25" s="101">
        <f t="shared" si="1"/>
        <v>0.99314279113514636</v>
      </c>
      <c r="H25" s="1"/>
      <c r="I25" s="1"/>
    </row>
    <row r="26" spans="1:9" ht="22.5">
      <c r="A26" s="22" t="s">
        <v>14</v>
      </c>
      <c r="B26" s="23" t="s">
        <v>28</v>
      </c>
      <c r="C26" s="23" t="s">
        <v>15</v>
      </c>
      <c r="D26" s="23"/>
      <c r="E26" s="24">
        <f>E27+E31+E33</f>
        <v>19320859.640000001</v>
      </c>
      <c r="F26" s="24">
        <f>F27+F31+F33</f>
        <v>19188372.469999999</v>
      </c>
      <c r="G26" s="101">
        <f t="shared" si="1"/>
        <v>0.99314279113514636</v>
      </c>
      <c r="H26" s="1"/>
      <c r="I26" s="1"/>
    </row>
    <row r="27" spans="1:9" ht="22.5">
      <c r="A27" s="14" t="s">
        <v>16</v>
      </c>
      <c r="B27" s="15" t="s">
        <v>28</v>
      </c>
      <c r="C27" s="15" t="s">
        <v>17</v>
      </c>
      <c r="D27" s="15"/>
      <c r="E27" s="16">
        <f>E28+E29+E30</f>
        <v>17816475.640000001</v>
      </c>
      <c r="F27" s="16">
        <f>F28+F29+F30</f>
        <v>17688744.939999998</v>
      </c>
      <c r="G27" s="101">
        <f t="shared" si="1"/>
        <v>0.99283075381568542</v>
      </c>
      <c r="H27" s="1"/>
      <c r="I27" s="1"/>
    </row>
    <row r="28" spans="1:9" ht="33.75">
      <c r="A28" s="14" t="s">
        <v>18</v>
      </c>
      <c r="B28" s="15" t="s">
        <v>28</v>
      </c>
      <c r="C28" s="15" t="s">
        <v>17</v>
      </c>
      <c r="D28" s="15" t="s">
        <v>19</v>
      </c>
      <c r="E28" s="16">
        <f>12787357+653000+920000+170000+39060</f>
        <v>14569417</v>
      </c>
      <c r="F28" s="16">
        <v>14550194.119999999</v>
      </c>
      <c r="G28" s="101">
        <f t="shared" si="1"/>
        <v>0.99868060060330477</v>
      </c>
      <c r="H28" s="1"/>
      <c r="I28" s="1"/>
    </row>
    <row r="29" spans="1:9" ht="22.5">
      <c r="A29" s="7" t="s">
        <v>26</v>
      </c>
      <c r="B29" s="8" t="s">
        <v>28</v>
      </c>
      <c r="C29" s="8" t="s">
        <v>17</v>
      </c>
      <c r="D29" s="8" t="s">
        <v>37</v>
      </c>
      <c r="E29" s="5">
        <f>2155705.88+496906.76+170000+136760+136691</f>
        <v>3096063.6399999997</v>
      </c>
      <c r="F29" s="5">
        <v>2987555.82</v>
      </c>
      <c r="G29" s="101">
        <f t="shared" si="1"/>
        <v>0.96495297493303467</v>
      </c>
      <c r="H29" s="1"/>
      <c r="I29" s="1"/>
    </row>
    <row r="30" spans="1:9" ht="12.75">
      <c r="A30" s="14" t="s">
        <v>38</v>
      </c>
      <c r="B30" s="15" t="s">
        <v>28</v>
      </c>
      <c r="C30" s="15" t="s">
        <v>17</v>
      </c>
      <c r="D30" s="15" t="s">
        <v>39</v>
      </c>
      <c r="E30" s="6">
        <f>93000+25400+32595</f>
        <v>150995</v>
      </c>
      <c r="F30" s="6">
        <f>93000+25400+32595</f>
        <v>150995</v>
      </c>
      <c r="G30" s="101">
        <f t="shared" si="1"/>
        <v>1</v>
      </c>
      <c r="H30" s="1"/>
      <c r="I30" s="1"/>
    </row>
    <row r="31" spans="1:9" ht="22.5">
      <c r="A31" s="14" t="s">
        <v>40</v>
      </c>
      <c r="B31" s="25" t="s">
        <v>28</v>
      </c>
      <c r="C31" s="25" t="s">
        <v>41</v>
      </c>
      <c r="D31" s="15"/>
      <c r="E31" s="6">
        <f>E32</f>
        <v>1444384</v>
      </c>
      <c r="F31" s="6">
        <f>F32</f>
        <v>1442187.53</v>
      </c>
      <c r="G31" s="101">
        <f t="shared" si="1"/>
        <v>0.99847930328776835</v>
      </c>
      <c r="H31" s="1"/>
      <c r="I31" s="1"/>
    </row>
    <row r="32" spans="1:9" ht="33.75">
      <c r="A32" s="14" t="s">
        <v>18</v>
      </c>
      <c r="B32" s="25" t="s">
        <v>28</v>
      </c>
      <c r="C32" s="25" t="s">
        <v>41</v>
      </c>
      <c r="D32" s="15">
        <v>100</v>
      </c>
      <c r="E32" s="6">
        <f>1205384+202000+37000</f>
        <v>1444384</v>
      </c>
      <c r="F32" s="6">
        <v>1442187.53</v>
      </c>
      <c r="G32" s="101">
        <f t="shared" si="1"/>
        <v>0.99847930328776835</v>
      </c>
      <c r="H32" s="1"/>
      <c r="I32" s="1"/>
    </row>
    <row r="33" spans="1:9" ht="33.75">
      <c r="A33" s="14" t="s">
        <v>42</v>
      </c>
      <c r="B33" s="15" t="s">
        <v>28</v>
      </c>
      <c r="C33" s="15" t="s">
        <v>43</v>
      </c>
      <c r="D33" s="15"/>
      <c r="E33" s="16">
        <f>E34</f>
        <v>60000</v>
      </c>
      <c r="F33" s="16">
        <f>F34</f>
        <v>57440</v>
      </c>
      <c r="G33" s="101">
        <f t="shared" si="1"/>
        <v>0.95733333333333337</v>
      </c>
      <c r="H33" s="1"/>
      <c r="I33" s="1"/>
    </row>
    <row r="34" spans="1:9" ht="22.5">
      <c r="A34" s="14" t="s">
        <v>26</v>
      </c>
      <c r="B34" s="15" t="s">
        <v>28</v>
      </c>
      <c r="C34" s="15" t="s">
        <v>43</v>
      </c>
      <c r="D34" s="15" t="s">
        <v>37</v>
      </c>
      <c r="E34" s="6">
        <f>30000+30000</f>
        <v>60000</v>
      </c>
      <c r="F34" s="6">
        <v>57440</v>
      </c>
      <c r="G34" s="101">
        <f t="shared" si="1"/>
        <v>0.95733333333333337</v>
      </c>
      <c r="H34" s="1"/>
      <c r="I34" s="1"/>
    </row>
    <row r="35" spans="1:9" ht="22.5">
      <c r="A35" s="19" t="s">
        <v>44</v>
      </c>
      <c r="B35" s="20" t="s">
        <v>28</v>
      </c>
      <c r="C35" s="26" t="s">
        <v>45</v>
      </c>
      <c r="D35" s="8"/>
      <c r="E35" s="27">
        <f t="shared" ref="E35:F37" si="3">E36</f>
        <v>25000</v>
      </c>
      <c r="F35" s="27">
        <f t="shared" si="3"/>
        <v>8000</v>
      </c>
      <c r="G35" s="101">
        <f t="shared" si="1"/>
        <v>0.32</v>
      </c>
      <c r="H35" s="1"/>
      <c r="I35" s="1"/>
    </row>
    <row r="36" spans="1:9" ht="22.5">
      <c r="A36" s="22" t="s">
        <v>46</v>
      </c>
      <c r="B36" s="23" t="s">
        <v>28</v>
      </c>
      <c r="C36" s="28" t="s">
        <v>47</v>
      </c>
      <c r="D36" s="8"/>
      <c r="E36" s="29">
        <f t="shared" si="3"/>
        <v>25000</v>
      </c>
      <c r="F36" s="29">
        <f t="shared" si="3"/>
        <v>8000</v>
      </c>
      <c r="G36" s="101">
        <f t="shared" si="1"/>
        <v>0.32</v>
      </c>
      <c r="H36" s="1"/>
      <c r="I36" s="1"/>
    </row>
    <row r="37" spans="1:9" ht="22.5">
      <c r="A37" s="30" t="s">
        <v>48</v>
      </c>
      <c r="B37" s="15" t="s">
        <v>28</v>
      </c>
      <c r="C37" s="25" t="s">
        <v>49</v>
      </c>
      <c r="D37" s="8"/>
      <c r="E37" s="6">
        <f t="shared" si="3"/>
        <v>25000</v>
      </c>
      <c r="F37" s="6">
        <f t="shared" si="3"/>
        <v>8000</v>
      </c>
      <c r="G37" s="101">
        <f t="shared" si="1"/>
        <v>0.32</v>
      </c>
      <c r="H37" s="1"/>
      <c r="I37" s="1"/>
    </row>
    <row r="38" spans="1:9" ht="22.5">
      <c r="A38" s="7" t="s">
        <v>26</v>
      </c>
      <c r="B38" s="15" t="s">
        <v>28</v>
      </c>
      <c r="C38" s="25" t="s">
        <v>49</v>
      </c>
      <c r="D38" s="8">
        <v>200</v>
      </c>
      <c r="E38" s="6">
        <v>25000</v>
      </c>
      <c r="F38" s="6">
        <v>8000</v>
      </c>
      <c r="G38" s="101">
        <f t="shared" si="1"/>
        <v>0.32</v>
      </c>
      <c r="H38" s="1"/>
      <c r="I38" s="1"/>
    </row>
    <row r="39" spans="1:9" ht="12.75">
      <c r="A39" s="31" t="s">
        <v>50</v>
      </c>
      <c r="B39" s="25" t="s">
        <v>51</v>
      </c>
      <c r="C39" s="25"/>
      <c r="D39" s="25"/>
      <c r="E39" s="16">
        <f t="shared" ref="E39:F43" si="4">E40</f>
        <v>3156.8</v>
      </c>
      <c r="F39" s="16">
        <f t="shared" si="4"/>
        <v>0</v>
      </c>
      <c r="G39" s="101">
        <f t="shared" si="1"/>
        <v>0</v>
      </c>
      <c r="H39" s="1"/>
      <c r="I39" s="1"/>
    </row>
    <row r="40" spans="1:9" ht="52.5">
      <c r="A40" s="17" t="s">
        <v>10</v>
      </c>
      <c r="B40" s="32" t="s">
        <v>51</v>
      </c>
      <c r="C40" s="13" t="s">
        <v>11</v>
      </c>
      <c r="D40" s="25"/>
      <c r="E40" s="18">
        <f t="shared" si="4"/>
        <v>3156.8</v>
      </c>
      <c r="F40" s="18">
        <f t="shared" si="4"/>
        <v>0</v>
      </c>
      <c r="G40" s="101">
        <f t="shared" si="1"/>
        <v>0</v>
      </c>
      <c r="H40" s="1"/>
      <c r="I40" s="1"/>
    </row>
    <row r="41" spans="1:9" ht="22.5">
      <c r="A41" s="19" t="s">
        <v>12</v>
      </c>
      <c r="B41" s="32" t="s">
        <v>51</v>
      </c>
      <c r="C41" s="20" t="s">
        <v>13</v>
      </c>
      <c r="D41" s="25"/>
      <c r="E41" s="21">
        <f t="shared" si="4"/>
        <v>3156.8</v>
      </c>
      <c r="F41" s="21">
        <f t="shared" si="4"/>
        <v>0</v>
      </c>
      <c r="G41" s="101">
        <f t="shared" si="1"/>
        <v>0</v>
      </c>
      <c r="H41" s="1"/>
      <c r="I41" s="1"/>
    </row>
    <row r="42" spans="1:9" ht="22.5">
      <c r="A42" s="22" t="s">
        <v>14</v>
      </c>
      <c r="B42" s="28" t="s">
        <v>51</v>
      </c>
      <c r="C42" s="23" t="s">
        <v>15</v>
      </c>
      <c r="D42" s="25"/>
      <c r="E42" s="24">
        <f t="shared" si="4"/>
        <v>3156.8</v>
      </c>
      <c r="F42" s="24">
        <f t="shared" si="4"/>
        <v>0</v>
      </c>
      <c r="G42" s="101">
        <f t="shared" si="1"/>
        <v>0</v>
      </c>
      <c r="H42" s="1"/>
      <c r="I42" s="1"/>
    </row>
    <row r="43" spans="1:9" ht="33.75">
      <c r="A43" s="14" t="s">
        <v>52</v>
      </c>
      <c r="B43" s="25" t="s">
        <v>51</v>
      </c>
      <c r="C43" s="25" t="s">
        <v>53</v>
      </c>
      <c r="D43" s="25"/>
      <c r="E43" s="16">
        <f t="shared" si="4"/>
        <v>3156.8</v>
      </c>
      <c r="F43" s="16">
        <f t="shared" si="4"/>
        <v>0</v>
      </c>
      <c r="G43" s="101">
        <f t="shared" si="1"/>
        <v>0</v>
      </c>
      <c r="H43" s="1"/>
      <c r="I43" s="1"/>
    </row>
    <row r="44" spans="1:9" ht="22.5">
      <c r="A44" s="14" t="s">
        <v>26</v>
      </c>
      <c r="B44" s="25" t="s">
        <v>51</v>
      </c>
      <c r="C44" s="25" t="s">
        <v>53</v>
      </c>
      <c r="D44" s="25" t="s">
        <v>37</v>
      </c>
      <c r="E44" s="6">
        <f>1047.73+1952.27+156.8</f>
        <v>3156.8</v>
      </c>
      <c r="F44" s="6">
        <v>0</v>
      </c>
      <c r="G44" s="101">
        <f t="shared" si="1"/>
        <v>0</v>
      </c>
      <c r="H44" s="1"/>
      <c r="I44" s="1"/>
    </row>
    <row r="45" spans="1:9" ht="22.5">
      <c r="A45" s="14" t="s">
        <v>54</v>
      </c>
      <c r="B45" s="25" t="s">
        <v>55</v>
      </c>
      <c r="C45" s="15"/>
      <c r="D45" s="15"/>
      <c r="E45" s="16">
        <f>E46+E52</f>
        <v>6365049.5200000005</v>
      </c>
      <c r="F45" s="16">
        <f>F46+F52</f>
        <v>6026701.5</v>
      </c>
      <c r="G45" s="101">
        <f t="shared" si="1"/>
        <v>0.94684282990464452</v>
      </c>
      <c r="H45" s="1"/>
      <c r="I45" s="1"/>
    </row>
    <row r="46" spans="1:9" ht="52.5">
      <c r="A46" s="17" t="s">
        <v>10</v>
      </c>
      <c r="B46" s="13" t="s">
        <v>55</v>
      </c>
      <c r="C46" s="13" t="s">
        <v>11</v>
      </c>
      <c r="D46" s="13"/>
      <c r="E46" s="18">
        <f t="shared" ref="E46:F48" si="5">E47</f>
        <v>5475939.9900000002</v>
      </c>
      <c r="F46" s="18">
        <f t="shared" si="5"/>
        <v>5148368.71</v>
      </c>
      <c r="G46" s="101">
        <f t="shared" si="1"/>
        <v>0.94017989959747528</v>
      </c>
      <c r="H46" s="1"/>
      <c r="I46" s="1"/>
    </row>
    <row r="47" spans="1:9" ht="22.5">
      <c r="A47" s="19" t="s">
        <v>12</v>
      </c>
      <c r="B47" s="20" t="s">
        <v>55</v>
      </c>
      <c r="C47" s="20" t="s">
        <v>13</v>
      </c>
      <c r="D47" s="20"/>
      <c r="E47" s="21">
        <f t="shared" si="5"/>
        <v>5475939.9900000002</v>
      </c>
      <c r="F47" s="21">
        <f t="shared" si="5"/>
        <v>5148368.71</v>
      </c>
      <c r="G47" s="101">
        <f t="shared" si="1"/>
        <v>0.94017989959747528</v>
      </c>
      <c r="H47" s="1"/>
      <c r="I47" s="1"/>
    </row>
    <row r="48" spans="1:9" ht="22.5">
      <c r="A48" s="22" t="s">
        <v>14</v>
      </c>
      <c r="B48" s="23" t="s">
        <v>55</v>
      </c>
      <c r="C48" s="23" t="s">
        <v>15</v>
      </c>
      <c r="D48" s="23"/>
      <c r="E48" s="24">
        <f t="shared" si="5"/>
        <v>5475939.9900000002</v>
      </c>
      <c r="F48" s="24">
        <f t="shared" si="5"/>
        <v>5148368.71</v>
      </c>
      <c r="G48" s="101">
        <f t="shared" si="1"/>
        <v>0.94017989959747528</v>
      </c>
      <c r="H48" s="1"/>
      <c r="I48" s="1"/>
    </row>
    <row r="49" spans="1:9" ht="22.5">
      <c r="A49" s="14" t="s">
        <v>16</v>
      </c>
      <c r="B49" s="15" t="s">
        <v>55</v>
      </c>
      <c r="C49" s="15" t="s">
        <v>17</v>
      </c>
      <c r="D49" s="15"/>
      <c r="E49" s="16">
        <f>E50+E51</f>
        <v>5475939.9900000002</v>
      </c>
      <c r="F49" s="16">
        <f>F50+F51</f>
        <v>5148368.71</v>
      </c>
      <c r="G49" s="101">
        <f t="shared" si="1"/>
        <v>0.94017989959747528</v>
      </c>
      <c r="H49" s="1"/>
      <c r="I49" s="1"/>
    </row>
    <row r="50" spans="1:9" ht="33.75">
      <c r="A50" s="7" t="s">
        <v>18</v>
      </c>
      <c r="B50" s="8" t="s">
        <v>55</v>
      </c>
      <c r="C50" s="8" t="s">
        <v>17</v>
      </c>
      <c r="D50" s="8" t="s">
        <v>19</v>
      </c>
      <c r="E50" s="6">
        <f>4965885+243000-201023.59-170000</f>
        <v>4837861.41</v>
      </c>
      <c r="F50" s="6">
        <v>4820978.32</v>
      </c>
      <c r="G50" s="101">
        <f t="shared" si="1"/>
        <v>0.99651021627756797</v>
      </c>
      <c r="H50" s="1"/>
      <c r="I50" s="1"/>
    </row>
    <row r="51" spans="1:9" ht="22.5">
      <c r="A51" s="14" t="s">
        <v>26</v>
      </c>
      <c r="B51" s="15" t="s">
        <v>55</v>
      </c>
      <c r="C51" s="15" t="s">
        <v>17</v>
      </c>
      <c r="D51" s="15" t="s">
        <v>37</v>
      </c>
      <c r="E51" s="16">
        <v>638078.57999999996</v>
      </c>
      <c r="F51" s="16">
        <v>327390.39</v>
      </c>
      <c r="G51" s="101">
        <f t="shared" si="1"/>
        <v>0.51308788644809233</v>
      </c>
      <c r="H51" s="1"/>
      <c r="I51" s="1"/>
    </row>
    <row r="52" spans="1:9" ht="12.75">
      <c r="A52" s="17" t="s">
        <v>22</v>
      </c>
      <c r="B52" s="13" t="s">
        <v>55</v>
      </c>
      <c r="C52" s="13" t="s">
        <v>23</v>
      </c>
      <c r="D52" s="13"/>
      <c r="E52" s="18">
        <f>E53</f>
        <v>889109.53</v>
      </c>
      <c r="F52" s="18">
        <f>F53</f>
        <v>878332.79</v>
      </c>
      <c r="G52" s="101">
        <f t="shared" si="1"/>
        <v>0.98787917614604803</v>
      </c>
      <c r="H52" s="1"/>
      <c r="I52" s="1"/>
    </row>
    <row r="53" spans="1:9" ht="12.75">
      <c r="A53" s="14" t="s">
        <v>56</v>
      </c>
      <c r="B53" s="15" t="s">
        <v>55</v>
      </c>
      <c r="C53" s="15" t="s">
        <v>57</v>
      </c>
      <c r="D53" s="15"/>
      <c r="E53" s="16">
        <f>E54+E55</f>
        <v>889109.53</v>
      </c>
      <c r="F53" s="16">
        <f>F54+F55</f>
        <v>878332.79</v>
      </c>
      <c r="G53" s="101">
        <f t="shared" si="1"/>
        <v>0.98787917614604803</v>
      </c>
      <c r="H53" s="1"/>
      <c r="I53" s="1"/>
    </row>
    <row r="54" spans="1:9" ht="33.75">
      <c r="A54" s="7" t="s">
        <v>18</v>
      </c>
      <c r="B54" s="8" t="s">
        <v>55</v>
      </c>
      <c r="C54" s="8" t="s">
        <v>57</v>
      </c>
      <c r="D54" s="8" t="s">
        <v>19</v>
      </c>
      <c r="E54" s="6">
        <f>647385+5789+33000+50892</f>
        <v>737066</v>
      </c>
      <c r="F54" s="6">
        <v>735993.31</v>
      </c>
      <c r="G54" s="101">
        <f t="shared" si="1"/>
        <v>0.99854464864747539</v>
      </c>
      <c r="H54" s="1"/>
      <c r="I54" s="1"/>
    </row>
    <row r="55" spans="1:9" ht="22.5">
      <c r="A55" s="7" t="s">
        <v>26</v>
      </c>
      <c r="B55" s="8" t="s">
        <v>55</v>
      </c>
      <c r="C55" s="8" t="s">
        <v>57</v>
      </c>
      <c r="D55" s="8" t="s">
        <v>37</v>
      </c>
      <c r="E55" s="6">
        <f>60119.53+61454+30470</f>
        <v>152043.53</v>
      </c>
      <c r="F55" s="6">
        <v>142339.48000000001</v>
      </c>
      <c r="G55" s="101">
        <f t="shared" si="1"/>
        <v>0.93617584385208641</v>
      </c>
      <c r="H55" s="1"/>
      <c r="I55" s="1"/>
    </row>
    <row r="56" spans="1:9" ht="12.75">
      <c r="A56" s="7" t="s">
        <v>58</v>
      </c>
      <c r="B56" s="8" t="s">
        <v>59</v>
      </c>
      <c r="C56" s="8"/>
      <c r="D56" s="8"/>
      <c r="E56" s="6">
        <f t="shared" ref="E56:F60" si="6">E57</f>
        <v>2742719.48</v>
      </c>
      <c r="F56" s="6">
        <f t="shared" si="6"/>
        <v>2742719.48</v>
      </c>
      <c r="G56" s="101">
        <f t="shared" si="1"/>
        <v>1</v>
      </c>
      <c r="H56" s="1"/>
      <c r="I56" s="1"/>
    </row>
    <row r="57" spans="1:9" ht="52.5">
      <c r="A57" s="17" t="s">
        <v>10</v>
      </c>
      <c r="B57" s="33" t="s">
        <v>59</v>
      </c>
      <c r="C57" s="33" t="s">
        <v>11</v>
      </c>
      <c r="D57" s="33"/>
      <c r="E57" s="34">
        <f t="shared" si="6"/>
        <v>2742719.48</v>
      </c>
      <c r="F57" s="34">
        <f t="shared" si="6"/>
        <v>2742719.48</v>
      </c>
      <c r="G57" s="101">
        <f t="shared" si="1"/>
        <v>1</v>
      </c>
      <c r="H57" s="1"/>
      <c r="I57" s="1"/>
    </row>
    <row r="58" spans="1:9" ht="22.5">
      <c r="A58" s="35" t="s">
        <v>12</v>
      </c>
      <c r="B58" s="36" t="s">
        <v>59</v>
      </c>
      <c r="C58" s="36" t="s">
        <v>13</v>
      </c>
      <c r="D58" s="36"/>
      <c r="E58" s="27">
        <f t="shared" si="6"/>
        <v>2742719.48</v>
      </c>
      <c r="F58" s="27">
        <f t="shared" si="6"/>
        <v>2742719.48</v>
      </c>
      <c r="G58" s="101">
        <f t="shared" si="1"/>
        <v>1</v>
      </c>
      <c r="H58" s="1"/>
      <c r="I58" s="1"/>
    </row>
    <row r="59" spans="1:9" ht="22.5">
      <c r="A59" s="37" t="s">
        <v>14</v>
      </c>
      <c r="B59" s="38" t="s">
        <v>59</v>
      </c>
      <c r="C59" s="38" t="s">
        <v>15</v>
      </c>
      <c r="D59" s="38"/>
      <c r="E59" s="29">
        <f t="shared" si="6"/>
        <v>2742719.48</v>
      </c>
      <c r="F59" s="29">
        <f t="shared" si="6"/>
        <v>2742719.48</v>
      </c>
      <c r="G59" s="101">
        <f t="shared" si="1"/>
        <v>1</v>
      </c>
      <c r="H59" s="1"/>
      <c r="I59" s="1"/>
    </row>
    <row r="60" spans="1:9" ht="12.75">
      <c r="A60" s="7" t="s">
        <v>60</v>
      </c>
      <c r="B60" s="8" t="s">
        <v>59</v>
      </c>
      <c r="C60" s="77" t="s">
        <v>503</v>
      </c>
      <c r="D60" s="8"/>
      <c r="E60" s="6">
        <f t="shared" si="6"/>
        <v>2742719.48</v>
      </c>
      <c r="F60" s="6">
        <f t="shared" si="6"/>
        <v>2742719.48</v>
      </c>
      <c r="G60" s="101">
        <f t="shared" si="1"/>
        <v>1</v>
      </c>
      <c r="H60" s="1"/>
      <c r="I60" s="1"/>
    </row>
    <row r="61" spans="1:9" ht="12.75">
      <c r="A61" s="7" t="s">
        <v>38</v>
      </c>
      <c r="B61" s="8" t="s">
        <v>59</v>
      </c>
      <c r="C61" s="77" t="s">
        <v>503</v>
      </c>
      <c r="D61" s="8">
        <v>800</v>
      </c>
      <c r="E61" s="5">
        <f>2203869.48+538850</f>
        <v>2742719.48</v>
      </c>
      <c r="F61" s="5">
        <f>2203869.48+538850</f>
        <v>2742719.48</v>
      </c>
      <c r="G61" s="101">
        <f t="shared" si="1"/>
        <v>1</v>
      </c>
      <c r="H61" s="1"/>
      <c r="I61" s="1"/>
    </row>
    <row r="62" spans="1:9" ht="12.75">
      <c r="A62" s="7" t="s">
        <v>61</v>
      </c>
      <c r="B62" s="8" t="s">
        <v>62</v>
      </c>
      <c r="C62" s="8"/>
      <c r="D62" s="8"/>
      <c r="E62" s="6">
        <f t="shared" ref="E62:F64" si="7">E63</f>
        <v>397266.83999999909</v>
      </c>
      <c r="F62" s="6">
        <f t="shared" si="7"/>
        <v>0</v>
      </c>
      <c r="G62" s="101">
        <f t="shared" si="1"/>
        <v>0</v>
      </c>
      <c r="H62" s="1"/>
      <c r="I62" s="1"/>
    </row>
    <row r="63" spans="1:9" ht="12.75">
      <c r="A63" s="39" t="s">
        <v>22</v>
      </c>
      <c r="B63" s="33" t="s">
        <v>62</v>
      </c>
      <c r="C63" s="33" t="s">
        <v>23</v>
      </c>
      <c r="D63" s="33"/>
      <c r="E63" s="34">
        <f t="shared" si="7"/>
        <v>397266.83999999909</v>
      </c>
      <c r="F63" s="34">
        <f t="shared" si="7"/>
        <v>0</v>
      </c>
      <c r="G63" s="101">
        <f t="shared" si="1"/>
        <v>0</v>
      </c>
      <c r="H63" s="1"/>
      <c r="I63" s="1"/>
    </row>
    <row r="64" spans="1:9" ht="22.5">
      <c r="A64" s="7" t="s">
        <v>63</v>
      </c>
      <c r="B64" s="8" t="s">
        <v>62</v>
      </c>
      <c r="C64" s="8" t="s">
        <v>64</v>
      </c>
      <c r="D64" s="8"/>
      <c r="E64" s="6">
        <f t="shared" si="7"/>
        <v>397266.83999999909</v>
      </c>
      <c r="F64" s="6">
        <f t="shared" si="7"/>
        <v>0</v>
      </c>
      <c r="G64" s="101">
        <f t="shared" si="1"/>
        <v>0</v>
      </c>
      <c r="H64" s="1"/>
      <c r="I64" s="1"/>
    </row>
    <row r="65" spans="1:9" s="10" customFormat="1" ht="12.75">
      <c r="A65" s="7" t="s">
        <v>38</v>
      </c>
      <c r="B65" s="8" t="s">
        <v>62</v>
      </c>
      <c r="C65" s="8" t="s">
        <v>64</v>
      </c>
      <c r="D65" s="8" t="s">
        <v>39</v>
      </c>
      <c r="E65" s="16">
        <f>267940+340150.43+3390000-200000-36900+516.51-4081.21-3292.93+1235957.45-610051.25-146906.76-3926222.18-1400+60317.72+193466.36+96420.46-96420.46-114936.51-121297.37+114936.51-89483.27+89483.27-88883.46+104120.82+88883.46-217443.33+72392.58</f>
        <v>397266.83999999909</v>
      </c>
      <c r="F65" s="16">
        <v>0</v>
      </c>
      <c r="G65" s="101">
        <f t="shared" si="1"/>
        <v>0</v>
      </c>
      <c r="H65" s="102"/>
      <c r="I65" s="102"/>
    </row>
    <row r="66" spans="1:9" ht="12.75">
      <c r="A66" s="14" t="s">
        <v>65</v>
      </c>
      <c r="B66" s="15" t="s">
        <v>66</v>
      </c>
      <c r="C66" s="15"/>
      <c r="D66" s="15"/>
      <c r="E66" s="16">
        <f>E67+E73+E78+E96+E102+E131</f>
        <v>8716708.4399999995</v>
      </c>
      <c r="F66" s="16">
        <f>F67+F73+F78+F96+F102+F131</f>
        <v>8298999.6799999997</v>
      </c>
      <c r="G66" s="101">
        <f t="shared" si="1"/>
        <v>0.95207953060777151</v>
      </c>
      <c r="H66" s="1"/>
      <c r="I66" s="1"/>
    </row>
    <row r="67" spans="1:9" ht="31.5">
      <c r="A67" s="17" t="s">
        <v>67</v>
      </c>
      <c r="B67" s="13" t="s">
        <v>66</v>
      </c>
      <c r="C67" s="13" t="s">
        <v>68</v>
      </c>
      <c r="D67" s="13"/>
      <c r="E67" s="18">
        <f t="shared" ref="E67:F69" si="8">E68</f>
        <v>563000</v>
      </c>
      <c r="F67" s="18">
        <f t="shared" si="8"/>
        <v>563000</v>
      </c>
      <c r="G67" s="101">
        <f t="shared" si="1"/>
        <v>1</v>
      </c>
      <c r="H67" s="1"/>
      <c r="I67" s="1"/>
    </row>
    <row r="68" spans="1:9" ht="22.5">
      <c r="A68" s="19" t="s">
        <v>69</v>
      </c>
      <c r="B68" s="20" t="s">
        <v>66</v>
      </c>
      <c r="C68" s="20" t="s">
        <v>70</v>
      </c>
      <c r="D68" s="20"/>
      <c r="E68" s="21">
        <f t="shared" si="8"/>
        <v>563000</v>
      </c>
      <c r="F68" s="21">
        <f t="shared" si="8"/>
        <v>563000</v>
      </c>
      <c r="G68" s="101">
        <f t="shared" si="1"/>
        <v>1</v>
      </c>
      <c r="H68" s="1"/>
      <c r="I68" s="1"/>
    </row>
    <row r="69" spans="1:9" ht="22.5">
      <c r="A69" s="22" t="s">
        <v>71</v>
      </c>
      <c r="B69" s="23" t="s">
        <v>66</v>
      </c>
      <c r="C69" s="23" t="s">
        <v>72</v>
      </c>
      <c r="D69" s="23"/>
      <c r="E69" s="24">
        <f t="shared" si="8"/>
        <v>563000</v>
      </c>
      <c r="F69" s="24">
        <f t="shared" si="8"/>
        <v>563000</v>
      </c>
      <c r="G69" s="101">
        <f t="shared" ref="G69:G125" si="9">F69/E69</f>
        <v>1</v>
      </c>
      <c r="H69" s="1"/>
      <c r="I69" s="1"/>
    </row>
    <row r="70" spans="1:9" ht="24" customHeight="1">
      <c r="A70" s="14" t="s">
        <v>73</v>
      </c>
      <c r="B70" s="15" t="s">
        <v>66</v>
      </c>
      <c r="C70" s="15" t="s">
        <v>74</v>
      </c>
      <c r="D70" s="15"/>
      <c r="E70" s="16">
        <f>E71+E72</f>
        <v>563000</v>
      </c>
      <c r="F70" s="16">
        <f>F71+F72</f>
        <v>563000</v>
      </c>
      <c r="G70" s="101">
        <f t="shared" si="9"/>
        <v>1</v>
      </c>
      <c r="H70" s="1"/>
      <c r="I70" s="1"/>
    </row>
    <row r="71" spans="1:9" ht="33.75">
      <c r="A71" s="14" t="s">
        <v>18</v>
      </c>
      <c r="B71" s="15" t="s">
        <v>66</v>
      </c>
      <c r="C71" s="15" t="s">
        <v>74</v>
      </c>
      <c r="D71" s="15" t="s">
        <v>19</v>
      </c>
      <c r="E71" s="6">
        <f>503000+49072.1</f>
        <v>552072.1</v>
      </c>
      <c r="F71" s="6">
        <f>503000+49072.1</f>
        <v>552072.1</v>
      </c>
      <c r="G71" s="101">
        <f t="shared" si="9"/>
        <v>1</v>
      </c>
      <c r="H71" s="1"/>
      <c r="I71" s="1"/>
    </row>
    <row r="72" spans="1:9" ht="22.5">
      <c r="A72" s="14" t="s">
        <v>26</v>
      </c>
      <c r="B72" s="15" t="s">
        <v>66</v>
      </c>
      <c r="C72" s="15" t="s">
        <v>74</v>
      </c>
      <c r="D72" s="15" t="s">
        <v>37</v>
      </c>
      <c r="E72" s="6">
        <f>60000-49072.1</f>
        <v>10927.900000000001</v>
      </c>
      <c r="F72" s="6">
        <f>60000-49072.1</f>
        <v>10927.900000000001</v>
      </c>
      <c r="G72" s="101">
        <f t="shared" si="9"/>
        <v>1</v>
      </c>
      <c r="H72" s="1"/>
      <c r="I72" s="1"/>
    </row>
    <row r="73" spans="1:9" ht="31.5">
      <c r="A73" s="17" t="s">
        <v>75</v>
      </c>
      <c r="B73" s="13" t="s">
        <v>66</v>
      </c>
      <c r="C73" s="13" t="s">
        <v>76</v>
      </c>
      <c r="D73" s="13"/>
      <c r="E73" s="18">
        <f t="shared" ref="E73:F76" si="10">E74</f>
        <v>100800</v>
      </c>
      <c r="F73" s="18">
        <f t="shared" si="10"/>
        <v>0</v>
      </c>
      <c r="G73" s="101">
        <f t="shared" si="9"/>
        <v>0</v>
      </c>
      <c r="H73" s="1"/>
      <c r="I73" s="1"/>
    </row>
    <row r="74" spans="1:9" ht="22.5">
      <c r="A74" s="35" t="s">
        <v>77</v>
      </c>
      <c r="B74" s="40" t="s">
        <v>66</v>
      </c>
      <c r="C74" s="40" t="s">
        <v>78</v>
      </c>
      <c r="D74" s="36"/>
      <c r="E74" s="27">
        <f t="shared" si="10"/>
        <v>100800</v>
      </c>
      <c r="F74" s="27">
        <f t="shared" si="10"/>
        <v>0</v>
      </c>
      <c r="G74" s="101">
        <f t="shared" si="9"/>
        <v>0</v>
      </c>
      <c r="H74" s="1"/>
      <c r="I74" s="1"/>
    </row>
    <row r="75" spans="1:9" ht="33.75">
      <c r="A75" s="37" t="s">
        <v>79</v>
      </c>
      <c r="B75" s="41" t="s">
        <v>66</v>
      </c>
      <c r="C75" s="41" t="s">
        <v>80</v>
      </c>
      <c r="D75" s="38"/>
      <c r="E75" s="29">
        <f t="shared" si="10"/>
        <v>100800</v>
      </c>
      <c r="F75" s="29">
        <f t="shared" si="10"/>
        <v>0</v>
      </c>
      <c r="G75" s="101">
        <f t="shared" si="9"/>
        <v>0</v>
      </c>
      <c r="H75" s="1"/>
      <c r="I75" s="1"/>
    </row>
    <row r="76" spans="1:9" ht="22.5">
      <c r="A76" s="7" t="s">
        <v>81</v>
      </c>
      <c r="B76" s="9" t="s">
        <v>66</v>
      </c>
      <c r="C76" s="9" t="s">
        <v>82</v>
      </c>
      <c r="D76" s="8"/>
      <c r="E76" s="6">
        <f t="shared" si="10"/>
        <v>100800</v>
      </c>
      <c r="F76" s="6">
        <f t="shared" si="10"/>
        <v>0</v>
      </c>
      <c r="G76" s="101">
        <f t="shared" si="9"/>
        <v>0</v>
      </c>
      <c r="H76" s="1"/>
      <c r="I76" s="1"/>
    </row>
    <row r="77" spans="1:9" ht="12.75">
      <c r="A77" s="7" t="s">
        <v>83</v>
      </c>
      <c r="B77" s="9" t="s">
        <v>66</v>
      </c>
      <c r="C77" s="9" t="s">
        <v>82</v>
      </c>
      <c r="D77" s="8">
        <v>500</v>
      </c>
      <c r="E77" s="6">
        <f>300000-199200</f>
        <v>100800</v>
      </c>
      <c r="F77" s="6">
        <v>0</v>
      </c>
      <c r="G77" s="101">
        <f t="shared" si="9"/>
        <v>0</v>
      </c>
      <c r="H77" s="1"/>
      <c r="I77" s="1"/>
    </row>
    <row r="78" spans="1:9" ht="21">
      <c r="A78" s="17" t="s">
        <v>29</v>
      </c>
      <c r="B78" s="13" t="s">
        <v>66</v>
      </c>
      <c r="C78" s="13" t="s">
        <v>30</v>
      </c>
      <c r="D78" s="13"/>
      <c r="E78" s="18">
        <f>E79+E87</f>
        <v>2517060.61</v>
      </c>
      <c r="F78" s="18">
        <f>F79+F87</f>
        <v>2475632.3600000003</v>
      </c>
      <c r="G78" s="101">
        <f t="shared" si="9"/>
        <v>0.98354102009486388</v>
      </c>
      <c r="H78" s="1"/>
      <c r="I78" s="1"/>
    </row>
    <row r="79" spans="1:9" ht="22.5">
      <c r="A79" s="19" t="s">
        <v>31</v>
      </c>
      <c r="B79" s="20" t="s">
        <v>66</v>
      </c>
      <c r="C79" s="20" t="s">
        <v>32</v>
      </c>
      <c r="D79" s="20"/>
      <c r="E79" s="21">
        <f>E80+E83</f>
        <v>2486000</v>
      </c>
      <c r="F79" s="21">
        <f>F80+F83</f>
        <v>2447019.4300000002</v>
      </c>
      <c r="G79" s="101">
        <f t="shared" si="9"/>
        <v>0.98431996379726472</v>
      </c>
      <c r="H79" s="1"/>
      <c r="I79" s="1"/>
    </row>
    <row r="80" spans="1:9" ht="22.5">
      <c r="A80" s="37" t="s">
        <v>33</v>
      </c>
      <c r="B80" s="41" t="s">
        <v>66</v>
      </c>
      <c r="C80" s="41" t="s">
        <v>34</v>
      </c>
      <c r="D80" s="20"/>
      <c r="E80" s="24">
        <f>E81</f>
        <v>5000</v>
      </c>
      <c r="F80" s="24">
        <f>F81</f>
        <v>1500</v>
      </c>
      <c r="G80" s="101">
        <f t="shared" si="9"/>
        <v>0.3</v>
      </c>
      <c r="H80" s="1"/>
      <c r="I80" s="1"/>
    </row>
    <row r="81" spans="1:9" ht="22.5">
      <c r="A81" s="14" t="s">
        <v>84</v>
      </c>
      <c r="B81" s="25" t="s">
        <v>85</v>
      </c>
      <c r="C81" s="25" t="s">
        <v>86</v>
      </c>
      <c r="D81" s="15"/>
      <c r="E81" s="16">
        <f>E82</f>
        <v>5000</v>
      </c>
      <c r="F81" s="16">
        <f>F82</f>
        <v>1500</v>
      </c>
      <c r="G81" s="101">
        <f t="shared" si="9"/>
        <v>0.3</v>
      </c>
      <c r="H81" s="1"/>
      <c r="I81" s="1"/>
    </row>
    <row r="82" spans="1:9" ht="22.5">
      <c r="A82" s="14" t="s">
        <v>87</v>
      </c>
      <c r="B82" s="25" t="s">
        <v>85</v>
      </c>
      <c r="C82" s="25" t="s">
        <v>86</v>
      </c>
      <c r="D82" s="15">
        <v>200</v>
      </c>
      <c r="E82" s="16">
        <v>5000</v>
      </c>
      <c r="F82" s="16">
        <v>1500</v>
      </c>
      <c r="G82" s="101">
        <f t="shared" si="9"/>
        <v>0.3</v>
      </c>
      <c r="H82" s="1"/>
      <c r="I82" s="1"/>
    </row>
    <row r="83" spans="1:9" ht="12.75">
      <c r="A83" s="22" t="s">
        <v>88</v>
      </c>
      <c r="B83" s="23" t="s">
        <v>66</v>
      </c>
      <c r="C83" s="23" t="s">
        <v>89</v>
      </c>
      <c r="D83" s="23"/>
      <c r="E83" s="24">
        <f>E84</f>
        <v>2481000</v>
      </c>
      <c r="F83" s="24">
        <f>F84</f>
        <v>2445519.4300000002</v>
      </c>
      <c r="G83" s="101">
        <f t="shared" si="9"/>
        <v>0.9856990850463524</v>
      </c>
      <c r="H83" s="1"/>
      <c r="I83" s="1"/>
    </row>
    <row r="84" spans="1:9" ht="22.5">
      <c r="A84" s="14" t="s">
        <v>90</v>
      </c>
      <c r="B84" s="15" t="s">
        <v>66</v>
      </c>
      <c r="C84" s="15" t="s">
        <v>91</v>
      </c>
      <c r="D84" s="15"/>
      <c r="E84" s="16">
        <f>E85+E86</f>
        <v>2481000</v>
      </c>
      <c r="F84" s="16">
        <f>F85+F86</f>
        <v>2445519.4300000002</v>
      </c>
      <c r="G84" s="101">
        <f t="shared" si="9"/>
        <v>0.9856990850463524</v>
      </c>
      <c r="H84" s="1"/>
      <c r="I84" s="1"/>
    </row>
    <row r="85" spans="1:9" ht="33.75">
      <c r="A85" s="14" t="s">
        <v>18</v>
      </c>
      <c r="B85" s="15" t="s">
        <v>66</v>
      </c>
      <c r="C85" s="15" t="s">
        <v>91</v>
      </c>
      <c r="D85" s="15" t="s">
        <v>19</v>
      </c>
      <c r="E85" s="6">
        <f>2074000+331000</f>
        <v>2405000</v>
      </c>
      <c r="F85" s="6">
        <v>2403945.4300000002</v>
      </c>
      <c r="G85" s="101">
        <f t="shared" si="9"/>
        <v>0.99956150935550947</v>
      </c>
      <c r="H85" s="1"/>
      <c r="I85" s="1"/>
    </row>
    <row r="86" spans="1:9" ht="22.5">
      <c r="A86" s="14" t="s">
        <v>26</v>
      </c>
      <c r="B86" s="15" t="s">
        <v>66</v>
      </c>
      <c r="C86" s="15" t="s">
        <v>91</v>
      </c>
      <c r="D86" s="15" t="s">
        <v>37</v>
      </c>
      <c r="E86" s="6">
        <v>76000</v>
      </c>
      <c r="F86" s="6">
        <v>41574</v>
      </c>
      <c r="G86" s="101">
        <f t="shared" si="9"/>
        <v>0.54702631578947369</v>
      </c>
      <c r="H86" s="1"/>
      <c r="I86" s="1"/>
    </row>
    <row r="87" spans="1:9" ht="45">
      <c r="A87" s="35" t="s">
        <v>92</v>
      </c>
      <c r="B87" s="40" t="s">
        <v>66</v>
      </c>
      <c r="C87" s="40" t="s">
        <v>93</v>
      </c>
      <c r="D87" s="36"/>
      <c r="E87" s="27">
        <f>E88</f>
        <v>31060.61</v>
      </c>
      <c r="F87" s="27">
        <f>F88</f>
        <v>28612.93</v>
      </c>
      <c r="G87" s="101">
        <f t="shared" si="9"/>
        <v>0.92119665389700978</v>
      </c>
      <c r="H87" s="1"/>
      <c r="I87" s="1"/>
    </row>
    <row r="88" spans="1:9" ht="12.75">
      <c r="A88" s="37" t="s">
        <v>94</v>
      </c>
      <c r="B88" s="41" t="s">
        <v>66</v>
      </c>
      <c r="C88" s="41" t="s">
        <v>95</v>
      </c>
      <c r="D88" s="38"/>
      <c r="E88" s="29">
        <f>E89+E93</f>
        <v>31060.61</v>
      </c>
      <c r="F88" s="29">
        <f>F89+F93</f>
        <v>28612.93</v>
      </c>
      <c r="G88" s="101">
        <f t="shared" si="9"/>
        <v>0.92119665389700978</v>
      </c>
      <c r="H88" s="1"/>
      <c r="I88" s="1"/>
    </row>
    <row r="89" spans="1:9" ht="22.5">
      <c r="A89" s="7" t="s">
        <v>96</v>
      </c>
      <c r="B89" s="9" t="s">
        <v>66</v>
      </c>
      <c r="C89" s="9" t="s">
        <v>97</v>
      </c>
      <c r="D89" s="8"/>
      <c r="E89" s="6">
        <f>E92+E90+E91</f>
        <v>30880</v>
      </c>
      <c r="F89" s="6">
        <f>F92+F90+F91</f>
        <v>28454.93</v>
      </c>
      <c r="G89" s="101">
        <f t="shared" si="9"/>
        <v>0.92146794041450775</v>
      </c>
      <c r="H89" s="1"/>
      <c r="I89" s="1"/>
    </row>
    <row r="90" spans="1:9" ht="33.75">
      <c r="A90" s="76" t="s">
        <v>18</v>
      </c>
      <c r="B90" s="77" t="s">
        <v>66</v>
      </c>
      <c r="C90" s="77" t="s">
        <v>97</v>
      </c>
      <c r="D90" s="78">
        <v>100</v>
      </c>
      <c r="E90" s="5">
        <v>12930</v>
      </c>
      <c r="F90" s="5">
        <v>12672</v>
      </c>
      <c r="G90" s="101">
        <f t="shared" si="9"/>
        <v>0.98004640371229701</v>
      </c>
      <c r="H90" s="1"/>
      <c r="I90" s="1"/>
    </row>
    <row r="91" spans="1:9" ht="22.5">
      <c r="A91" s="76" t="s">
        <v>26</v>
      </c>
      <c r="B91" s="77" t="s">
        <v>66</v>
      </c>
      <c r="C91" s="77" t="s">
        <v>97</v>
      </c>
      <c r="D91" s="78">
        <v>200</v>
      </c>
      <c r="E91" s="5">
        <v>4950</v>
      </c>
      <c r="F91" s="5">
        <v>2895</v>
      </c>
      <c r="G91" s="101">
        <f t="shared" si="9"/>
        <v>0.58484848484848484</v>
      </c>
      <c r="H91" s="1"/>
      <c r="I91" s="1"/>
    </row>
    <row r="92" spans="1:9" ht="12.75">
      <c r="A92" s="7" t="s">
        <v>83</v>
      </c>
      <c r="B92" s="9" t="s">
        <v>66</v>
      </c>
      <c r="C92" s="9" t="s">
        <v>97</v>
      </c>
      <c r="D92" s="8">
        <v>500</v>
      </c>
      <c r="E92" s="6">
        <v>13000</v>
      </c>
      <c r="F92" s="6">
        <v>12887.93</v>
      </c>
      <c r="G92" s="101">
        <f t="shared" si="9"/>
        <v>0.99137923076923085</v>
      </c>
      <c r="H92" s="1"/>
      <c r="I92" s="1"/>
    </row>
    <row r="93" spans="1:9" ht="22.5">
      <c r="A93" s="76" t="s">
        <v>509</v>
      </c>
      <c r="B93" s="77" t="s">
        <v>66</v>
      </c>
      <c r="C93" s="77" t="s">
        <v>510</v>
      </c>
      <c r="D93" s="78"/>
      <c r="E93" s="5">
        <f>E94+E95</f>
        <v>180.61</v>
      </c>
      <c r="F93" s="5">
        <f>F94+F95</f>
        <v>158</v>
      </c>
      <c r="G93" s="101">
        <f t="shared" si="9"/>
        <v>0.87481313327058297</v>
      </c>
      <c r="H93" s="1"/>
      <c r="I93" s="1"/>
    </row>
    <row r="94" spans="1:9" ht="33.75">
      <c r="A94" s="76" t="s">
        <v>18</v>
      </c>
      <c r="B94" s="77" t="s">
        <v>66</v>
      </c>
      <c r="C94" s="77" t="s">
        <v>510</v>
      </c>
      <c r="D94" s="78">
        <v>100</v>
      </c>
      <c r="E94" s="5">
        <v>130.61000000000001</v>
      </c>
      <c r="F94" s="5">
        <v>128</v>
      </c>
      <c r="G94" s="101">
        <f t="shared" si="9"/>
        <v>0.98001684403950684</v>
      </c>
      <c r="H94" s="1"/>
      <c r="I94" s="1"/>
    </row>
    <row r="95" spans="1:9" ht="22.5">
      <c r="A95" s="76" t="s">
        <v>26</v>
      </c>
      <c r="B95" s="77" t="s">
        <v>66</v>
      </c>
      <c r="C95" s="77" t="s">
        <v>510</v>
      </c>
      <c r="D95" s="78">
        <v>200</v>
      </c>
      <c r="E95" s="5">
        <v>50</v>
      </c>
      <c r="F95" s="5">
        <v>30</v>
      </c>
      <c r="G95" s="101">
        <f t="shared" si="9"/>
        <v>0.6</v>
      </c>
      <c r="H95" s="1"/>
      <c r="I95" s="1"/>
    </row>
    <row r="96" spans="1:9" ht="31.5">
      <c r="A96" s="39" t="s">
        <v>98</v>
      </c>
      <c r="B96" s="33" t="s">
        <v>66</v>
      </c>
      <c r="C96" s="42" t="s">
        <v>99</v>
      </c>
      <c r="D96" s="33"/>
      <c r="E96" s="34">
        <f t="shared" ref="E96:F98" si="11">E97</f>
        <v>60000</v>
      </c>
      <c r="F96" s="34">
        <f t="shared" si="11"/>
        <v>26408</v>
      </c>
      <c r="G96" s="101">
        <f t="shared" si="9"/>
        <v>0.44013333333333332</v>
      </c>
      <c r="H96" s="1"/>
      <c r="I96" s="1"/>
    </row>
    <row r="97" spans="1:9" ht="22.5">
      <c r="A97" s="35" t="s">
        <v>100</v>
      </c>
      <c r="B97" s="36" t="s">
        <v>66</v>
      </c>
      <c r="C97" s="40" t="s">
        <v>101</v>
      </c>
      <c r="D97" s="36"/>
      <c r="E97" s="27">
        <f t="shared" si="11"/>
        <v>60000</v>
      </c>
      <c r="F97" s="27">
        <f t="shared" si="11"/>
        <v>26408</v>
      </c>
      <c r="G97" s="101">
        <f t="shared" si="9"/>
        <v>0.44013333333333332</v>
      </c>
      <c r="H97" s="1"/>
      <c r="I97" s="1"/>
    </row>
    <row r="98" spans="1:9" ht="22.5">
      <c r="A98" s="37" t="s">
        <v>102</v>
      </c>
      <c r="B98" s="38" t="s">
        <v>66</v>
      </c>
      <c r="C98" s="41" t="s">
        <v>103</v>
      </c>
      <c r="D98" s="38"/>
      <c r="E98" s="29">
        <f t="shared" si="11"/>
        <v>60000</v>
      </c>
      <c r="F98" s="29">
        <f t="shared" si="11"/>
        <v>26408</v>
      </c>
      <c r="G98" s="101">
        <f t="shared" si="9"/>
        <v>0.44013333333333332</v>
      </c>
      <c r="H98" s="1"/>
      <c r="I98" s="1"/>
    </row>
    <row r="99" spans="1:9" ht="12.75">
      <c r="A99" s="7" t="s">
        <v>104</v>
      </c>
      <c r="B99" s="8" t="s">
        <v>66</v>
      </c>
      <c r="C99" s="9" t="s">
        <v>105</v>
      </c>
      <c r="D99" s="8"/>
      <c r="E99" s="6">
        <f>E100+E101</f>
        <v>60000</v>
      </c>
      <c r="F99" s="6">
        <f>F100+F101</f>
        <v>26408</v>
      </c>
      <c r="G99" s="101">
        <f t="shared" si="9"/>
        <v>0.44013333333333332</v>
      </c>
      <c r="H99" s="1"/>
      <c r="I99" s="1"/>
    </row>
    <row r="100" spans="1:9" ht="22.5">
      <c r="A100" s="7" t="s">
        <v>26</v>
      </c>
      <c r="B100" s="8" t="s">
        <v>66</v>
      </c>
      <c r="C100" s="9" t="s">
        <v>105</v>
      </c>
      <c r="D100" s="8">
        <v>200</v>
      </c>
      <c r="E100" s="6">
        <f>100000-50000</f>
        <v>50000</v>
      </c>
      <c r="F100" s="6">
        <v>24908</v>
      </c>
      <c r="G100" s="101">
        <f t="shared" si="9"/>
        <v>0.49815999999999999</v>
      </c>
      <c r="H100" s="1"/>
      <c r="I100" s="1"/>
    </row>
    <row r="101" spans="1:9" ht="12.75">
      <c r="A101" s="7" t="s">
        <v>106</v>
      </c>
      <c r="B101" s="9" t="s">
        <v>66</v>
      </c>
      <c r="C101" s="9" t="s">
        <v>105</v>
      </c>
      <c r="D101" s="8" t="s">
        <v>107</v>
      </c>
      <c r="E101" s="6">
        <v>10000</v>
      </c>
      <c r="F101" s="6">
        <v>1500</v>
      </c>
      <c r="G101" s="101">
        <f t="shared" si="9"/>
        <v>0.15</v>
      </c>
      <c r="H101" s="1"/>
      <c r="I101" s="1"/>
    </row>
    <row r="102" spans="1:9" ht="52.5">
      <c r="A102" s="17" t="s">
        <v>10</v>
      </c>
      <c r="B102" s="13" t="s">
        <v>66</v>
      </c>
      <c r="C102" s="13" t="s">
        <v>11</v>
      </c>
      <c r="D102" s="13"/>
      <c r="E102" s="18">
        <f>E103+E117+E125+E121</f>
        <v>5430347.8300000001</v>
      </c>
      <c r="F102" s="18">
        <f>F103+F117+F125+F121</f>
        <v>5188459.3199999994</v>
      </c>
      <c r="G102" s="101">
        <f t="shared" si="9"/>
        <v>0.95545616642387332</v>
      </c>
      <c r="H102" s="1"/>
      <c r="I102" s="1"/>
    </row>
    <row r="103" spans="1:9" ht="22.5">
      <c r="A103" s="19" t="s">
        <v>12</v>
      </c>
      <c r="B103" s="20" t="s">
        <v>66</v>
      </c>
      <c r="C103" s="20" t="s">
        <v>13</v>
      </c>
      <c r="D103" s="20"/>
      <c r="E103" s="21">
        <f>E104</f>
        <v>4634825.4800000004</v>
      </c>
      <c r="F103" s="21">
        <f>F104</f>
        <v>4393936.97</v>
      </c>
      <c r="G103" s="101">
        <f t="shared" si="9"/>
        <v>0.94802641198908733</v>
      </c>
      <c r="H103" s="1"/>
      <c r="I103" s="1"/>
    </row>
    <row r="104" spans="1:9" ht="22.5">
      <c r="A104" s="22" t="s">
        <v>14</v>
      </c>
      <c r="B104" s="23" t="s">
        <v>66</v>
      </c>
      <c r="C104" s="23" t="s">
        <v>15</v>
      </c>
      <c r="D104" s="23"/>
      <c r="E104" s="24">
        <f>E105+E108+E110+E112+E115</f>
        <v>4634825.4800000004</v>
      </c>
      <c r="F104" s="24">
        <f>F105+F108+F110+F112+F115</f>
        <v>4393936.97</v>
      </c>
      <c r="G104" s="101">
        <f t="shared" si="9"/>
        <v>0.94802641198908733</v>
      </c>
      <c r="H104" s="1"/>
      <c r="I104" s="1"/>
    </row>
    <row r="105" spans="1:9" ht="22.5">
      <c r="A105" s="14" t="s">
        <v>16</v>
      </c>
      <c r="B105" s="15" t="s">
        <v>66</v>
      </c>
      <c r="C105" s="15" t="s">
        <v>17</v>
      </c>
      <c r="D105" s="15"/>
      <c r="E105" s="16">
        <f>E106+E107</f>
        <v>3522698.64</v>
      </c>
      <c r="F105" s="16">
        <f>F106+F107</f>
        <v>3360726.09</v>
      </c>
      <c r="G105" s="101">
        <f t="shared" si="9"/>
        <v>0.95402032176104612</v>
      </c>
      <c r="H105" s="1"/>
      <c r="I105" s="1"/>
    </row>
    <row r="106" spans="1:9" ht="33.75">
      <c r="A106" s="7" t="s">
        <v>18</v>
      </c>
      <c r="B106" s="8" t="s">
        <v>66</v>
      </c>
      <c r="C106" s="8" t="s">
        <v>17</v>
      </c>
      <c r="D106" s="8" t="s">
        <v>19</v>
      </c>
      <c r="E106" s="6">
        <f>2758825+135000+148132.08+180000</f>
        <v>3221957.08</v>
      </c>
      <c r="F106" s="6">
        <v>3109675.29</v>
      </c>
      <c r="G106" s="101">
        <f t="shared" si="9"/>
        <v>0.96515105967829962</v>
      </c>
      <c r="H106" s="1"/>
      <c r="I106" s="1"/>
    </row>
    <row r="107" spans="1:9" ht="22.5">
      <c r="A107" s="7" t="s">
        <v>26</v>
      </c>
      <c r="B107" s="8" t="s">
        <v>66</v>
      </c>
      <c r="C107" s="8" t="s">
        <v>17</v>
      </c>
      <c r="D107" s="8" t="s">
        <v>37</v>
      </c>
      <c r="E107" s="6">
        <v>300741.56</v>
      </c>
      <c r="F107" s="6">
        <v>251050.8</v>
      </c>
      <c r="G107" s="101">
        <f t="shared" si="9"/>
        <v>0.83477255355062996</v>
      </c>
      <c r="H107" s="1"/>
      <c r="I107" s="1"/>
    </row>
    <row r="108" spans="1:9" ht="22.5">
      <c r="A108" s="14" t="s">
        <v>108</v>
      </c>
      <c r="B108" s="15" t="s">
        <v>66</v>
      </c>
      <c r="C108" s="25" t="s">
        <v>109</v>
      </c>
      <c r="D108" s="15"/>
      <c r="E108" s="16">
        <f>E109</f>
        <v>352940.88</v>
      </c>
      <c r="F108" s="16">
        <f>F109</f>
        <v>352940.88</v>
      </c>
      <c r="G108" s="101">
        <f t="shared" si="9"/>
        <v>1</v>
      </c>
      <c r="H108" s="1"/>
      <c r="I108" s="1"/>
    </row>
    <row r="109" spans="1:9" ht="22.5">
      <c r="A109" s="14" t="s">
        <v>26</v>
      </c>
      <c r="B109" s="15" t="s">
        <v>66</v>
      </c>
      <c r="C109" s="25" t="s">
        <v>109</v>
      </c>
      <c r="D109" s="15">
        <v>200</v>
      </c>
      <c r="E109" s="6">
        <f>300000+120000-67059.12</f>
        <v>352940.88</v>
      </c>
      <c r="F109" s="6">
        <f>300000+120000-67059.12</f>
        <v>352940.88</v>
      </c>
      <c r="G109" s="101">
        <f t="shared" si="9"/>
        <v>1</v>
      </c>
      <c r="H109" s="1"/>
      <c r="I109" s="1"/>
    </row>
    <row r="110" spans="1:9" ht="22.5">
      <c r="A110" s="14" t="s">
        <v>110</v>
      </c>
      <c r="B110" s="15" t="s">
        <v>66</v>
      </c>
      <c r="C110" s="15" t="s">
        <v>111</v>
      </c>
      <c r="D110" s="15"/>
      <c r="E110" s="16">
        <f>E111</f>
        <v>203185.96000000002</v>
      </c>
      <c r="F110" s="16">
        <f>F111</f>
        <v>154970</v>
      </c>
      <c r="G110" s="101">
        <f t="shared" si="9"/>
        <v>0.76270033618464572</v>
      </c>
      <c r="H110" s="1"/>
      <c r="I110" s="1"/>
    </row>
    <row r="111" spans="1:9" ht="22.5">
      <c r="A111" s="14" t="s">
        <v>26</v>
      </c>
      <c r="B111" s="15" t="s">
        <v>66</v>
      </c>
      <c r="C111" s="15" t="s">
        <v>111</v>
      </c>
      <c r="D111" s="15" t="s">
        <v>37</v>
      </c>
      <c r="E111" s="6">
        <f>300000-96814.04</f>
        <v>203185.96000000002</v>
      </c>
      <c r="F111" s="6">
        <v>154970</v>
      </c>
      <c r="G111" s="101">
        <f t="shared" si="9"/>
        <v>0.76270033618464572</v>
      </c>
      <c r="H111" s="1"/>
      <c r="I111" s="1"/>
    </row>
    <row r="112" spans="1:9" ht="33.75">
      <c r="A112" s="14" t="s">
        <v>112</v>
      </c>
      <c r="B112" s="15" t="s">
        <v>66</v>
      </c>
      <c r="C112" s="15" t="s">
        <v>113</v>
      </c>
      <c r="D112" s="15"/>
      <c r="E112" s="16">
        <f>E113+E114</f>
        <v>56000</v>
      </c>
      <c r="F112" s="16">
        <f>F113+F114</f>
        <v>25300</v>
      </c>
      <c r="G112" s="101">
        <f t="shared" si="9"/>
        <v>0.45178571428571429</v>
      </c>
      <c r="H112" s="1"/>
      <c r="I112" s="1"/>
    </row>
    <row r="113" spans="1:9" ht="33.75">
      <c r="A113" s="14" t="s">
        <v>18</v>
      </c>
      <c r="B113" s="15" t="s">
        <v>66</v>
      </c>
      <c r="C113" s="15" t="s">
        <v>113</v>
      </c>
      <c r="D113" s="15" t="s">
        <v>19</v>
      </c>
      <c r="E113" s="16">
        <f>23300+2000</f>
        <v>25300</v>
      </c>
      <c r="F113" s="16">
        <f>23300+2000</f>
        <v>25300</v>
      </c>
      <c r="G113" s="101">
        <f t="shared" si="9"/>
        <v>1</v>
      </c>
      <c r="H113" s="1"/>
      <c r="I113" s="1"/>
    </row>
    <row r="114" spans="1:9" ht="22.5">
      <c r="A114" s="14" t="s">
        <v>26</v>
      </c>
      <c r="B114" s="15" t="s">
        <v>66</v>
      </c>
      <c r="C114" s="15" t="s">
        <v>113</v>
      </c>
      <c r="D114" s="15" t="s">
        <v>37</v>
      </c>
      <c r="E114" s="16">
        <v>30700</v>
      </c>
      <c r="F114" s="16">
        <v>0</v>
      </c>
      <c r="G114" s="101">
        <f t="shared" si="9"/>
        <v>0</v>
      </c>
      <c r="H114" s="1"/>
      <c r="I114" s="1"/>
    </row>
    <row r="115" spans="1:9" ht="22.5">
      <c r="A115" s="76" t="s">
        <v>501</v>
      </c>
      <c r="B115" s="77" t="s">
        <v>66</v>
      </c>
      <c r="C115" s="77" t="s">
        <v>502</v>
      </c>
      <c r="D115" s="78"/>
      <c r="E115" s="61">
        <f>E116</f>
        <v>500000</v>
      </c>
      <c r="F115" s="61">
        <f>F116</f>
        <v>500000</v>
      </c>
      <c r="G115" s="101">
        <f t="shared" si="9"/>
        <v>1</v>
      </c>
      <c r="H115" s="1"/>
      <c r="I115" s="1"/>
    </row>
    <row r="116" spans="1:9" ht="33.75">
      <c r="A116" s="76" t="s">
        <v>18</v>
      </c>
      <c r="B116" s="77" t="s">
        <v>66</v>
      </c>
      <c r="C116" s="77" t="s">
        <v>502</v>
      </c>
      <c r="D116" s="78">
        <v>100</v>
      </c>
      <c r="E116" s="61">
        <v>500000</v>
      </c>
      <c r="F116" s="61">
        <v>500000</v>
      </c>
      <c r="G116" s="101">
        <f t="shared" si="9"/>
        <v>1</v>
      </c>
      <c r="H116" s="1"/>
      <c r="I116" s="1"/>
    </row>
    <row r="117" spans="1:9" ht="22.5">
      <c r="A117" s="19" t="s">
        <v>44</v>
      </c>
      <c r="B117" s="20" t="s">
        <v>66</v>
      </c>
      <c r="C117" s="20" t="s">
        <v>45</v>
      </c>
      <c r="D117" s="20"/>
      <c r="E117" s="21">
        <f t="shared" ref="E117:F119" si="12">E118</f>
        <v>1000</v>
      </c>
      <c r="F117" s="21">
        <f t="shared" si="12"/>
        <v>0</v>
      </c>
      <c r="G117" s="101">
        <f t="shared" si="9"/>
        <v>0</v>
      </c>
      <c r="H117" s="1"/>
      <c r="I117" s="1"/>
    </row>
    <row r="118" spans="1:9" ht="22.5">
      <c r="A118" s="22" t="s">
        <v>46</v>
      </c>
      <c r="B118" s="23" t="s">
        <v>66</v>
      </c>
      <c r="C118" s="23" t="s">
        <v>47</v>
      </c>
      <c r="D118" s="23"/>
      <c r="E118" s="24">
        <f t="shared" si="12"/>
        <v>1000</v>
      </c>
      <c r="F118" s="24">
        <f t="shared" si="12"/>
        <v>0</v>
      </c>
      <c r="G118" s="101">
        <f t="shared" si="9"/>
        <v>0</v>
      </c>
      <c r="H118" s="1"/>
      <c r="I118" s="1"/>
    </row>
    <row r="119" spans="1:9" ht="45">
      <c r="A119" s="14" t="s">
        <v>114</v>
      </c>
      <c r="B119" s="15" t="s">
        <v>66</v>
      </c>
      <c r="C119" s="15" t="s">
        <v>115</v>
      </c>
      <c r="D119" s="15"/>
      <c r="E119" s="16">
        <f t="shared" si="12"/>
        <v>1000</v>
      </c>
      <c r="F119" s="16">
        <f t="shared" si="12"/>
        <v>0</v>
      </c>
      <c r="G119" s="101">
        <f t="shared" si="9"/>
        <v>0</v>
      </c>
      <c r="H119" s="1"/>
      <c r="I119" s="1"/>
    </row>
    <row r="120" spans="1:9" ht="22.5">
      <c r="A120" s="14" t="s">
        <v>26</v>
      </c>
      <c r="B120" s="15" t="s">
        <v>66</v>
      </c>
      <c r="C120" s="15" t="s">
        <v>115</v>
      </c>
      <c r="D120" s="15" t="s">
        <v>37</v>
      </c>
      <c r="E120" s="16">
        <v>1000</v>
      </c>
      <c r="F120" s="16">
        <v>0</v>
      </c>
      <c r="G120" s="101">
        <f t="shared" si="9"/>
        <v>0</v>
      </c>
      <c r="H120" s="1"/>
      <c r="I120" s="1"/>
    </row>
    <row r="121" spans="1:9" ht="22.5">
      <c r="A121" s="43" t="s">
        <v>381</v>
      </c>
      <c r="B121" s="44" t="s">
        <v>66</v>
      </c>
      <c r="C121" s="44" t="s">
        <v>382</v>
      </c>
      <c r="D121" s="45"/>
      <c r="E121" s="46">
        <f t="shared" ref="E121:F123" si="13">E122</f>
        <v>684632.35</v>
      </c>
      <c r="F121" s="46">
        <f t="shared" si="13"/>
        <v>684632.35</v>
      </c>
      <c r="G121" s="101">
        <f t="shared" si="9"/>
        <v>1</v>
      </c>
      <c r="H121" s="1"/>
      <c r="I121" s="1"/>
    </row>
    <row r="122" spans="1:9" ht="22.5">
      <c r="A122" s="47" t="s">
        <v>383</v>
      </c>
      <c r="B122" s="48" t="s">
        <v>66</v>
      </c>
      <c r="C122" s="48" t="s">
        <v>384</v>
      </c>
      <c r="D122" s="49"/>
      <c r="E122" s="50">
        <f t="shared" si="13"/>
        <v>684632.35</v>
      </c>
      <c r="F122" s="50">
        <f t="shared" si="13"/>
        <v>684632.35</v>
      </c>
      <c r="G122" s="101">
        <f t="shared" si="9"/>
        <v>1</v>
      </c>
      <c r="H122" s="1"/>
      <c r="I122" s="1"/>
    </row>
    <row r="123" spans="1:9" ht="22.5">
      <c r="A123" s="51" t="s">
        <v>495</v>
      </c>
      <c r="B123" s="52" t="s">
        <v>66</v>
      </c>
      <c r="C123" s="52" t="s">
        <v>496</v>
      </c>
      <c r="D123" s="53"/>
      <c r="E123" s="54">
        <f t="shared" si="13"/>
        <v>684632.35</v>
      </c>
      <c r="F123" s="54">
        <f t="shared" si="13"/>
        <v>684632.35</v>
      </c>
      <c r="G123" s="101">
        <f t="shared" si="9"/>
        <v>1</v>
      </c>
      <c r="H123" s="1"/>
      <c r="I123" s="1"/>
    </row>
    <row r="124" spans="1:9" ht="22.5">
      <c r="A124" s="51" t="s">
        <v>26</v>
      </c>
      <c r="B124" s="52" t="s">
        <v>66</v>
      </c>
      <c r="C124" s="52" t="s">
        <v>496</v>
      </c>
      <c r="D124" s="53">
        <v>200</v>
      </c>
      <c r="E124" s="54">
        <f>101442.29+193466.36+96420.46+114936.51+89483.27+88883.46</f>
        <v>684632.35</v>
      </c>
      <c r="F124" s="54">
        <f>101442.29+193466.36+96420.46+114936.51+89483.27+88883.46</f>
        <v>684632.35</v>
      </c>
      <c r="G124" s="101">
        <f t="shared" si="9"/>
        <v>1</v>
      </c>
      <c r="H124" s="1"/>
      <c r="I124" s="1"/>
    </row>
    <row r="125" spans="1:9" ht="22.5">
      <c r="A125" s="55" t="s">
        <v>120</v>
      </c>
      <c r="B125" s="40" t="s">
        <v>66</v>
      </c>
      <c r="C125" s="40" t="s">
        <v>121</v>
      </c>
      <c r="D125" s="36"/>
      <c r="E125" s="21">
        <f>E126</f>
        <v>109890</v>
      </c>
      <c r="F125" s="21">
        <f>F126</f>
        <v>109890</v>
      </c>
      <c r="G125" s="101">
        <f t="shared" si="9"/>
        <v>1</v>
      </c>
      <c r="H125" s="1"/>
      <c r="I125" s="1"/>
    </row>
    <row r="126" spans="1:9" ht="33.75">
      <c r="A126" s="56" t="s">
        <v>122</v>
      </c>
      <c r="B126" s="41" t="s">
        <v>66</v>
      </c>
      <c r="C126" s="41" t="s">
        <v>123</v>
      </c>
      <c r="D126" s="38"/>
      <c r="E126" s="24">
        <f>E127+E129</f>
        <v>109890</v>
      </c>
      <c r="F126" s="24">
        <f>F127+F129</f>
        <v>109890</v>
      </c>
      <c r="G126" s="101">
        <f t="shared" ref="G126:G180" si="14">F126/E126</f>
        <v>1</v>
      </c>
      <c r="H126" s="1"/>
      <c r="I126" s="1"/>
    </row>
    <row r="127" spans="1:9" ht="12.75">
      <c r="A127" s="57" t="s">
        <v>124</v>
      </c>
      <c r="B127" s="9" t="s">
        <v>66</v>
      </c>
      <c r="C127" s="9" t="s">
        <v>125</v>
      </c>
      <c r="D127" s="8"/>
      <c r="E127" s="16">
        <f>E128</f>
        <v>100000</v>
      </c>
      <c r="F127" s="16">
        <f>F128</f>
        <v>100000</v>
      </c>
      <c r="G127" s="101">
        <f t="shared" si="14"/>
        <v>1</v>
      </c>
      <c r="H127" s="1"/>
      <c r="I127" s="1"/>
    </row>
    <row r="128" spans="1:9" ht="22.5">
      <c r="A128" s="7" t="s">
        <v>26</v>
      </c>
      <c r="B128" s="9" t="s">
        <v>66</v>
      </c>
      <c r="C128" s="9" t="s">
        <v>125</v>
      </c>
      <c r="D128" s="8">
        <v>200</v>
      </c>
      <c r="E128" s="16">
        <v>100000</v>
      </c>
      <c r="F128" s="16">
        <v>100000</v>
      </c>
      <c r="G128" s="101">
        <f t="shared" si="14"/>
        <v>1</v>
      </c>
      <c r="H128" s="1"/>
      <c r="I128" s="1"/>
    </row>
    <row r="129" spans="1:9" ht="22.5">
      <c r="A129" s="98" t="s">
        <v>505</v>
      </c>
      <c r="B129" s="9" t="s">
        <v>66</v>
      </c>
      <c r="C129" s="77" t="s">
        <v>506</v>
      </c>
      <c r="D129" s="78"/>
      <c r="E129" s="61">
        <f>E130</f>
        <v>9890</v>
      </c>
      <c r="F129" s="61">
        <f>F130</f>
        <v>9890</v>
      </c>
      <c r="G129" s="101">
        <f t="shared" si="14"/>
        <v>1</v>
      </c>
      <c r="H129" s="1"/>
      <c r="I129" s="1"/>
    </row>
    <row r="130" spans="1:9" ht="22.5">
      <c r="A130" s="76" t="s">
        <v>26</v>
      </c>
      <c r="B130" s="9" t="s">
        <v>66</v>
      </c>
      <c r="C130" s="77" t="s">
        <v>506</v>
      </c>
      <c r="D130" s="78">
        <v>200</v>
      </c>
      <c r="E130" s="61">
        <v>9890</v>
      </c>
      <c r="F130" s="61">
        <v>9890</v>
      </c>
      <c r="G130" s="101">
        <f t="shared" si="14"/>
        <v>1</v>
      </c>
      <c r="H130" s="1"/>
      <c r="I130" s="1"/>
    </row>
    <row r="131" spans="1:9" ht="12.75">
      <c r="A131" s="17" t="s">
        <v>22</v>
      </c>
      <c r="B131" s="13" t="s">
        <v>66</v>
      </c>
      <c r="C131" s="13" t="s">
        <v>23</v>
      </c>
      <c r="D131" s="13"/>
      <c r="E131" s="18">
        <f>E132</f>
        <v>45500</v>
      </c>
      <c r="F131" s="18">
        <f>F132</f>
        <v>45500</v>
      </c>
      <c r="G131" s="101">
        <f t="shared" si="14"/>
        <v>1</v>
      </c>
      <c r="H131" s="1"/>
      <c r="I131" s="1"/>
    </row>
    <row r="132" spans="1:9" ht="12.75">
      <c r="A132" s="14" t="s">
        <v>126</v>
      </c>
      <c r="B132" s="15" t="s">
        <v>66</v>
      </c>
      <c r="C132" s="15" t="s">
        <v>127</v>
      </c>
      <c r="D132" s="15"/>
      <c r="E132" s="16">
        <f>E133</f>
        <v>45500</v>
      </c>
      <c r="F132" s="16">
        <f>F133</f>
        <v>45500</v>
      </c>
      <c r="G132" s="101">
        <f t="shared" si="14"/>
        <v>1</v>
      </c>
      <c r="H132" s="1"/>
      <c r="I132" s="1"/>
    </row>
    <row r="133" spans="1:9" ht="12.75">
      <c r="A133" s="14" t="s">
        <v>38</v>
      </c>
      <c r="B133" s="15" t="s">
        <v>66</v>
      </c>
      <c r="C133" s="15" t="s">
        <v>127</v>
      </c>
      <c r="D133" s="15" t="s">
        <v>39</v>
      </c>
      <c r="E133" s="6">
        <v>45500</v>
      </c>
      <c r="F133" s="6">
        <v>45500</v>
      </c>
      <c r="G133" s="101">
        <f t="shared" si="14"/>
        <v>1</v>
      </c>
      <c r="H133" s="1"/>
      <c r="I133" s="1"/>
    </row>
    <row r="134" spans="1:9" ht="12.75">
      <c r="A134" s="14" t="s">
        <v>128</v>
      </c>
      <c r="B134" s="15" t="s">
        <v>129</v>
      </c>
      <c r="C134" s="15"/>
      <c r="D134" s="15"/>
      <c r="E134" s="16">
        <f>E135</f>
        <v>270166</v>
      </c>
      <c r="F134" s="16">
        <f>F135</f>
        <v>263426.2</v>
      </c>
      <c r="G134" s="101">
        <f t="shared" si="14"/>
        <v>0.97505311549195683</v>
      </c>
      <c r="H134" s="1"/>
      <c r="I134" s="1"/>
    </row>
    <row r="135" spans="1:9" ht="12.75">
      <c r="A135" s="14" t="s">
        <v>130</v>
      </c>
      <c r="B135" s="15" t="s">
        <v>131</v>
      </c>
      <c r="C135" s="15"/>
      <c r="D135" s="15"/>
      <c r="E135" s="16">
        <f>E136+E141</f>
        <v>270166</v>
      </c>
      <c r="F135" s="16">
        <f>F136+F141</f>
        <v>263426.2</v>
      </c>
      <c r="G135" s="101">
        <f t="shared" si="14"/>
        <v>0.97505311549195683</v>
      </c>
      <c r="H135" s="1"/>
      <c r="I135" s="1"/>
    </row>
    <row r="136" spans="1:9" ht="21">
      <c r="A136" s="17" t="s">
        <v>29</v>
      </c>
      <c r="B136" s="13" t="s">
        <v>131</v>
      </c>
      <c r="C136" s="13" t="s">
        <v>30</v>
      </c>
      <c r="D136" s="13"/>
      <c r="E136" s="18">
        <f t="shared" ref="E136:F139" si="15">E137</f>
        <v>15000</v>
      </c>
      <c r="F136" s="18">
        <f t="shared" si="15"/>
        <v>8260.2000000000007</v>
      </c>
      <c r="G136" s="101">
        <f t="shared" si="14"/>
        <v>0.55068000000000006</v>
      </c>
      <c r="H136" s="1"/>
      <c r="I136" s="1"/>
    </row>
    <row r="137" spans="1:9" ht="22.5">
      <c r="A137" s="19" t="s">
        <v>31</v>
      </c>
      <c r="B137" s="20" t="s">
        <v>131</v>
      </c>
      <c r="C137" s="20" t="s">
        <v>32</v>
      </c>
      <c r="D137" s="20"/>
      <c r="E137" s="21">
        <f t="shared" si="15"/>
        <v>15000</v>
      </c>
      <c r="F137" s="21">
        <f t="shared" si="15"/>
        <v>8260.2000000000007</v>
      </c>
      <c r="G137" s="101">
        <f t="shared" si="14"/>
        <v>0.55068000000000006</v>
      </c>
      <c r="H137" s="1"/>
      <c r="I137" s="1"/>
    </row>
    <row r="138" spans="1:9" ht="12.75">
      <c r="A138" s="22" t="s">
        <v>88</v>
      </c>
      <c r="B138" s="23" t="s">
        <v>131</v>
      </c>
      <c r="C138" s="23" t="s">
        <v>89</v>
      </c>
      <c r="D138" s="23"/>
      <c r="E138" s="24">
        <f t="shared" si="15"/>
        <v>15000</v>
      </c>
      <c r="F138" s="24">
        <f t="shared" si="15"/>
        <v>8260.2000000000007</v>
      </c>
      <c r="G138" s="101">
        <f t="shared" si="14"/>
        <v>0.55068000000000006</v>
      </c>
      <c r="H138" s="1"/>
      <c r="I138" s="1"/>
    </row>
    <row r="139" spans="1:9" ht="12.75">
      <c r="A139" s="14" t="s">
        <v>132</v>
      </c>
      <c r="B139" s="15" t="s">
        <v>131</v>
      </c>
      <c r="C139" s="15" t="s">
        <v>133</v>
      </c>
      <c r="D139" s="15"/>
      <c r="E139" s="16">
        <f t="shared" si="15"/>
        <v>15000</v>
      </c>
      <c r="F139" s="16">
        <f t="shared" si="15"/>
        <v>8260.2000000000007</v>
      </c>
      <c r="G139" s="101">
        <f t="shared" si="14"/>
        <v>0.55068000000000006</v>
      </c>
      <c r="H139" s="1"/>
      <c r="I139" s="1"/>
    </row>
    <row r="140" spans="1:9" ht="22.5">
      <c r="A140" s="14" t="s">
        <v>26</v>
      </c>
      <c r="B140" s="15" t="s">
        <v>131</v>
      </c>
      <c r="C140" s="15" t="s">
        <v>133</v>
      </c>
      <c r="D140" s="15" t="s">
        <v>37</v>
      </c>
      <c r="E140" s="6">
        <v>15000</v>
      </c>
      <c r="F140" s="6">
        <v>8260.2000000000007</v>
      </c>
      <c r="G140" s="101">
        <f t="shared" si="14"/>
        <v>0.55068000000000006</v>
      </c>
      <c r="H140" s="1"/>
      <c r="I140" s="1"/>
    </row>
    <row r="141" spans="1:9" ht="52.5">
      <c r="A141" s="17" t="s">
        <v>10</v>
      </c>
      <c r="B141" s="13" t="s">
        <v>131</v>
      </c>
      <c r="C141" s="13" t="s">
        <v>11</v>
      </c>
      <c r="D141" s="13"/>
      <c r="E141" s="18">
        <f t="shared" ref="E141:F144" si="16">E142</f>
        <v>255166</v>
      </c>
      <c r="F141" s="18">
        <f t="shared" si="16"/>
        <v>255166</v>
      </c>
      <c r="G141" s="101">
        <f t="shared" si="14"/>
        <v>1</v>
      </c>
      <c r="H141" s="1"/>
      <c r="I141" s="1"/>
    </row>
    <row r="142" spans="1:9" ht="22.5">
      <c r="A142" s="19" t="s">
        <v>12</v>
      </c>
      <c r="B142" s="20" t="s">
        <v>131</v>
      </c>
      <c r="C142" s="20" t="s">
        <v>13</v>
      </c>
      <c r="D142" s="20"/>
      <c r="E142" s="21">
        <f t="shared" si="16"/>
        <v>255166</v>
      </c>
      <c r="F142" s="21">
        <f t="shared" si="16"/>
        <v>255166</v>
      </c>
      <c r="G142" s="101">
        <f t="shared" si="14"/>
        <v>1</v>
      </c>
      <c r="H142" s="1"/>
      <c r="I142" s="1"/>
    </row>
    <row r="143" spans="1:9" ht="22.5">
      <c r="A143" s="22" t="s">
        <v>14</v>
      </c>
      <c r="B143" s="23" t="s">
        <v>131</v>
      </c>
      <c r="C143" s="23" t="s">
        <v>15</v>
      </c>
      <c r="D143" s="23"/>
      <c r="E143" s="24">
        <f t="shared" si="16"/>
        <v>255166</v>
      </c>
      <c r="F143" s="24">
        <f t="shared" si="16"/>
        <v>255166</v>
      </c>
      <c r="G143" s="101">
        <f t="shared" si="14"/>
        <v>1</v>
      </c>
      <c r="H143" s="1"/>
      <c r="I143" s="1"/>
    </row>
    <row r="144" spans="1:9" ht="22.5">
      <c r="A144" s="14" t="s">
        <v>134</v>
      </c>
      <c r="B144" s="15" t="s">
        <v>131</v>
      </c>
      <c r="C144" s="15" t="s">
        <v>135</v>
      </c>
      <c r="D144" s="15"/>
      <c r="E144" s="16">
        <f t="shared" si="16"/>
        <v>255166</v>
      </c>
      <c r="F144" s="16">
        <f t="shared" si="16"/>
        <v>255166</v>
      </c>
      <c r="G144" s="101">
        <f t="shared" si="14"/>
        <v>1</v>
      </c>
      <c r="H144" s="1"/>
      <c r="I144" s="1"/>
    </row>
    <row r="145" spans="1:9" ht="12.75">
      <c r="A145" s="7" t="s">
        <v>83</v>
      </c>
      <c r="B145" s="8" t="s">
        <v>131</v>
      </c>
      <c r="C145" s="8" t="s">
        <v>135</v>
      </c>
      <c r="D145" s="8" t="s">
        <v>136</v>
      </c>
      <c r="E145" s="6">
        <f>220209+34589+368</f>
        <v>255166</v>
      </c>
      <c r="F145" s="6">
        <f>220209+34589+368</f>
        <v>255166</v>
      </c>
      <c r="G145" s="101">
        <f t="shared" si="14"/>
        <v>1</v>
      </c>
      <c r="H145" s="1"/>
      <c r="I145" s="1"/>
    </row>
    <row r="146" spans="1:9" ht="22.5">
      <c r="A146" s="14" t="s">
        <v>137</v>
      </c>
      <c r="B146" s="15" t="s">
        <v>138</v>
      </c>
      <c r="C146" s="15"/>
      <c r="D146" s="15"/>
      <c r="E146" s="16">
        <f>E147+E153+E161</f>
        <v>343552.64</v>
      </c>
      <c r="F146" s="16">
        <f>F147+F153+F161</f>
        <v>333552.64000000001</v>
      </c>
      <c r="G146" s="101">
        <f t="shared" si="14"/>
        <v>0.97089237911255755</v>
      </c>
      <c r="H146" s="1"/>
      <c r="I146" s="1"/>
    </row>
    <row r="147" spans="1:9" ht="12.75">
      <c r="A147" s="14" t="s">
        <v>139</v>
      </c>
      <c r="B147" s="15" t="s">
        <v>140</v>
      </c>
      <c r="C147" s="15"/>
      <c r="D147" s="15"/>
      <c r="E147" s="16">
        <f t="shared" ref="E147:F151" si="17">E148</f>
        <v>127500</v>
      </c>
      <c r="F147" s="16">
        <f t="shared" si="17"/>
        <v>127500</v>
      </c>
      <c r="G147" s="101">
        <f t="shared" si="14"/>
        <v>1</v>
      </c>
      <c r="H147" s="1"/>
      <c r="I147" s="1"/>
    </row>
    <row r="148" spans="1:9" ht="21">
      <c r="A148" s="17" t="s">
        <v>29</v>
      </c>
      <c r="B148" s="13" t="s">
        <v>140</v>
      </c>
      <c r="C148" s="13" t="s">
        <v>30</v>
      </c>
      <c r="D148" s="13"/>
      <c r="E148" s="18">
        <f t="shared" si="17"/>
        <v>127500</v>
      </c>
      <c r="F148" s="18">
        <f t="shared" si="17"/>
        <v>127500</v>
      </c>
      <c r="G148" s="101">
        <f t="shared" si="14"/>
        <v>1</v>
      </c>
      <c r="H148" s="1"/>
      <c r="I148" s="1"/>
    </row>
    <row r="149" spans="1:9" ht="22.5">
      <c r="A149" s="19" t="s">
        <v>31</v>
      </c>
      <c r="B149" s="20" t="s">
        <v>140</v>
      </c>
      <c r="C149" s="20" t="s">
        <v>32</v>
      </c>
      <c r="D149" s="20"/>
      <c r="E149" s="21">
        <f t="shared" si="17"/>
        <v>127500</v>
      </c>
      <c r="F149" s="21">
        <f t="shared" si="17"/>
        <v>127500</v>
      </c>
      <c r="G149" s="101">
        <f t="shared" si="14"/>
        <v>1</v>
      </c>
      <c r="H149" s="1"/>
      <c r="I149" s="1"/>
    </row>
    <row r="150" spans="1:9" ht="12.75">
      <c r="A150" s="22" t="s">
        <v>88</v>
      </c>
      <c r="B150" s="23" t="s">
        <v>140</v>
      </c>
      <c r="C150" s="23" t="s">
        <v>89</v>
      </c>
      <c r="D150" s="23"/>
      <c r="E150" s="24">
        <f t="shared" si="17"/>
        <v>127500</v>
      </c>
      <c r="F150" s="24">
        <f t="shared" si="17"/>
        <v>127500</v>
      </c>
      <c r="G150" s="101">
        <f t="shared" si="14"/>
        <v>1</v>
      </c>
      <c r="H150" s="1"/>
      <c r="I150" s="1"/>
    </row>
    <row r="151" spans="1:9" ht="12.75">
      <c r="A151" s="14" t="s">
        <v>141</v>
      </c>
      <c r="B151" s="15" t="s">
        <v>140</v>
      </c>
      <c r="C151" s="15" t="s">
        <v>142</v>
      </c>
      <c r="D151" s="15"/>
      <c r="E151" s="16">
        <f t="shared" si="17"/>
        <v>127500</v>
      </c>
      <c r="F151" s="16">
        <f t="shared" si="17"/>
        <v>127500</v>
      </c>
      <c r="G151" s="101">
        <f t="shared" si="14"/>
        <v>1</v>
      </c>
      <c r="H151" s="1"/>
      <c r="I151" s="1"/>
    </row>
    <row r="152" spans="1:9" ht="22.5">
      <c r="A152" s="14" t="s">
        <v>26</v>
      </c>
      <c r="B152" s="15" t="s">
        <v>140</v>
      </c>
      <c r="C152" s="15" t="s">
        <v>142</v>
      </c>
      <c r="D152" s="15" t="s">
        <v>37</v>
      </c>
      <c r="E152" s="6">
        <f>244000-116500</f>
        <v>127500</v>
      </c>
      <c r="F152" s="6">
        <f>244000-116500</f>
        <v>127500</v>
      </c>
      <c r="G152" s="101">
        <f t="shared" si="14"/>
        <v>1</v>
      </c>
      <c r="H152" s="1"/>
      <c r="I152" s="1"/>
    </row>
    <row r="153" spans="1:9" ht="22.5">
      <c r="A153" s="7" t="s">
        <v>143</v>
      </c>
      <c r="B153" s="9" t="s">
        <v>144</v>
      </c>
      <c r="C153" s="8"/>
      <c r="D153" s="8"/>
      <c r="E153" s="6">
        <f t="shared" ref="E153:F155" si="18">E154</f>
        <v>161052.64000000001</v>
      </c>
      <c r="F153" s="6">
        <f t="shared" si="18"/>
        <v>161052.64000000001</v>
      </c>
      <c r="G153" s="101">
        <f t="shared" si="14"/>
        <v>1</v>
      </c>
      <c r="H153" s="1"/>
      <c r="I153" s="1"/>
    </row>
    <row r="154" spans="1:9" ht="21">
      <c r="A154" s="17" t="s">
        <v>29</v>
      </c>
      <c r="B154" s="42" t="s">
        <v>144</v>
      </c>
      <c r="C154" s="33" t="s">
        <v>30</v>
      </c>
      <c r="D154" s="33"/>
      <c r="E154" s="34">
        <f t="shared" si="18"/>
        <v>161052.64000000001</v>
      </c>
      <c r="F154" s="34">
        <f t="shared" si="18"/>
        <v>161052.64000000001</v>
      </c>
      <c r="G154" s="101">
        <f t="shared" si="14"/>
        <v>1</v>
      </c>
      <c r="H154" s="1"/>
      <c r="I154" s="1"/>
    </row>
    <row r="155" spans="1:9" ht="22.5">
      <c r="A155" s="35" t="s">
        <v>31</v>
      </c>
      <c r="B155" s="40" t="s">
        <v>144</v>
      </c>
      <c r="C155" s="36" t="s">
        <v>32</v>
      </c>
      <c r="D155" s="36"/>
      <c r="E155" s="27">
        <f t="shared" si="18"/>
        <v>161052.64000000001</v>
      </c>
      <c r="F155" s="27">
        <f t="shared" si="18"/>
        <v>161052.64000000001</v>
      </c>
      <c r="G155" s="101">
        <f t="shared" si="14"/>
        <v>1</v>
      </c>
      <c r="H155" s="1"/>
      <c r="I155" s="1"/>
    </row>
    <row r="156" spans="1:9" ht="22.5">
      <c r="A156" s="37" t="s">
        <v>33</v>
      </c>
      <c r="B156" s="41" t="s">
        <v>144</v>
      </c>
      <c r="C156" s="41" t="s">
        <v>34</v>
      </c>
      <c r="D156" s="38"/>
      <c r="E156" s="29">
        <f>E157+E159</f>
        <v>161052.64000000001</v>
      </c>
      <c r="F156" s="29">
        <f>F157+F159</f>
        <v>161052.64000000001</v>
      </c>
      <c r="G156" s="101">
        <f t="shared" si="14"/>
        <v>1</v>
      </c>
      <c r="H156" s="1"/>
      <c r="I156" s="1"/>
    </row>
    <row r="157" spans="1:9" ht="22.5">
      <c r="A157" s="7" t="s">
        <v>145</v>
      </c>
      <c r="B157" s="9" t="s">
        <v>144</v>
      </c>
      <c r="C157" s="9" t="s">
        <v>146</v>
      </c>
      <c r="D157" s="8"/>
      <c r="E157" s="6">
        <f>E158</f>
        <v>8052.64</v>
      </c>
      <c r="F157" s="6">
        <f>F158</f>
        <v>8052.64</v>
      </c>
      <c r="G157" s="101">
        <f t="shared" si="14"/>
        <v>1</v>
      </c>
      <c r="H157" s="1"/>
      <c r="I157" s="1"/>
    </row>
    <row r="158" spans="1:9" ht="12.75">
      <c r="A158" s="7" t="s">
        <v>83</v>
      </c>
      <c r="B158" s="9" t="s">
        <v>144</v>
      </c>
      <c r="C158" s="9" t="s">
        <v>146</v>
      </c>
      <c r="D158" s="8">
        <v>500</v>
      </c>
      <c r="E158" s="6">
        <v>8052.64</v>
      </c>
      <c r="F158" s="6">
        <v>8052.64</v>
      </c>
      <c r="G158" s="101">
        <f t="shared" si="14"/>
        <v>1</v>
      </c>
      <c r="H158" s="1"/>
      <c r="I158" s="1"/>
    </row>
    <row r="159" spans="1:9" ht="22.5">
      <c r="A159" s="7" t="s">
        <v>147</v>
      </c>
      <c r="B159" s="9" t="s">
        <v>144</v>
      </c>
      <c r="C159" s="9" t="s">
        <v>148</v>
      </c>
      <c r="D159" s="8"/>
      <c r="E159" s="6">
        <f>E160</f>
        <v>153000</v>
      </c>
      <c r="F159" s="6">
        <f>F160</f>
        <v>153000</v>
      </c>
      <c r="G159" s="101">
        <f t="shared" si="14"/>
        <v>1</v>
      </c>
      <c r="H159" s="1"/>
      <c r="I159" s="1"/>
    </row>
    <row r="160" spans="1:9" ht="12.75">
      <c r="A160" s="7" t="s">
        <v>83</v>
      </c>
      <c r="B160" s="9" t="s">
        <v>144</v>
      </c>
      <c r="C160" s="9" t="s">
        <v>148</v>
      </c>
      <c r="D160" s="8">
        <v>500</v>
      </c>
      <c r="E160" s="6">
        <v>153000</v>
      </c>
      <c r="F160" s="6">
        <v>153000</v>
      </c>
      <c r="G160" s="101">
        <f t="shared" si="14"/>
        <v>1</v>
      </c>
      <c r="H160" s="1"/>
      <c r="I160" s="1"/>
    </row>
    <row r="161" spans="1:9" ht="22.5">
      <c r="A161" s="14" t="s">
        <v>149</v>
      </c>
      <c r="B161" s="15" t="s">
        <v>150</v>
      </c>
      <c r="C161" s="15"/>
      <c r="D161" s="15"/>
      <c r="E161" s="16">
        <f>E162</f>
        <v>55000</v>
      </c>
      <c r="F161" s="16">
        <f>F162</f>
        <v>45000</v>
      </c>
      <c r="G161" s="101">
        <f t="shared" si="14"/>
        <v>0.81818181818181823</v>
      </c>
      <c r="H161" s="1"/>
      <c r="I161" s="1"/>
    </row>
    <row r="162" spans="1:9" ht="21">
      <c r="A162" s="17" t="s">
        <v>29</v>
      </c>
      <c r="B162" s="13" t="s">
        <v>150</v>
      </c>
      <c r="C162" s="13" t="s">
        <v>30</v>
      </c>
      <c r="D162" s="13"/>
      <c r="E162" s="18">
        <f>E163+E170</f>
        <v>55000</v>
      </c>
      <c r="F162" s="18">
        <f>F163+F170</f>
        <v>45000</v>
      </c>
      <c r="G162" s="101">
        <f t="shared" si="14"/>
        <v>0.81818181818181823</v>
      </c>
      <c r="H162" s="1"/>
      <c r="I162" s="1"/>
    </row>
    <row r="163" spans="1:9" ht="45">
      <c r="A163" s="19" t="s">
        <v>151</v>
      </c>
      <c r="B163" s="26" t="s">
        <v>150</v>
      </c>
      <c r="C163" s="26" t="s">
        <v>93</v>
      </c>
      <c r="D163" s="20"/>
      <c r="E163" s="21">
        <f>E164+E167</f>
        <v>30000</v>
      </c>
      <c r="F163" s="21">
        <f>F164+F167</f>
        <v>20000</v>
      </c>
      <c r="G163" s="101">
        <f t="shared" si="14"/>
        <v>0.66666666666666663</v>
      </c>
      <c r="H163" s="1"/>
      <c r="I163" s="1"/>
    </row>
    <row r="164" spans="1:9" ht="12.75">
      <c r="A164" s="22" t="s">
        <v>152</v>
      </c>
      <c r="B164" s="23" t="s">
        <v>150</v>
      </c>
      <c r="C164" s="23" t="s">
        <v>153</v>
      </c>
      <c r="D164" s="23"/>
      <c r="E164" s="24">
        <f>E165</f>
        <v>10000</v>
      </c>
      <c r="F164" s="24">
        <f>F165</f>
        <v>0</v>
      </c>
      <c r="G164" s="101">
        <f t="shared" si="14"/>
        <v>0</v>
      </c>
      <c r="H164" s="1"/>
      <c r="I164" s="1"/>
    </row>
    <row r="165" spans="1:9" ht="22.5">
      <c r="A165" s="14" t="s">
        <v>154</v>
      </c>
      <c r="B165" s="15" t="s">
        <v>150</v>
      </c>
      <c r="C165" s="15" t="s">
        <v>155</v>
      </c>
      <c r="D165" s="15"/>
      <c r="E165" s="16">
        <f>E166</f>
        <v>10000</v>
      </c>
      <c r="F165" s="16">
        <f>F166</f>
        <v>0</v>
      </c>
      <c r="G165" s="101">
        <f t="shared" si="14"/>
        <v>0</v>
      </c>
      <c r="H165" s="1"/>
      <c r="I165" s="1"/>
    </row>
    <row r="166" spans="1:9" ht="22.5">
      <c r="A166" s="14" t="s">
        <v>26</v>
      </c>
      <c r="B166" s="15" t="s">
        <v>150</v>
      </c>
      <c r="C166" s="15" t="s">
        <v>155</v>
      </c>
      <c r="D166" s="15" t="s">
        <v>37</v>
      </c>
      <c r="E166" s="16">
        <v>10000</v>
      </c>
      <c r="F166" s="16">
        <v>0</v>
      </c>
      <c r="G166" s="101">
        <f t="shared" si="14"/>
        <v>0</v>
      </c>
      <c r="H166" s="1"/>
      <c r="I166" s="1"/>
    </row>
    <row r="167" spans="1:9" ht="12.75">
      <c r="A167" s="22" t="s">
        <v>156</v>
      </c>
      <c r="B167" s="28" t="s">
        <v>150</v>
      </c>
      <c r="C167" s="28" t="s">
        <v>95</v>
      </c>
      <c r="D167" s="23"/>
      <c r="E167" s="24">
        <f>E168</f>
        <v>20000</v>
      </c>
      <c r="F167" s="24">
        <f>F168</f>
        <v>20000</v>
      </c>
      <c r="G167" s="101">
        <f t="shared" si="14"/>
        <v>1</v>
      </c>
      <c r="H167" s="1"/>
      <c r="I167" s="1"/>
    </row>
    <row r="168" spans="1:9" ht="22.5">
      <c r="A168" s="14" t="s">
        <v>157</v>
      </c>
      <c r="B168" s="25" t="s">
        <v>150</v>
      </c>
      <c r="C168" s="25" t="s">
        <v>158</v>
      </c>
      <c r="D168" s="15"/>
      <c r="E168" s="16">
        <f>E169</f>
        <v>20000</v>
      </c>
      <c r="F168" s="16">
        <f>F169</f>
        <v>20000</v>
      </c>
      <c r="G168" s="101">
        <f t="shared" si="14"/>
        <v>1</v>
      </c>
      <c r="H168" s="1"/>
      <c r="I168" s="1"/>
    </row>
    <row r="169" spans="1:9" ht="22.5">
      <c r="A169" s="14" t="s">
        <v>26</v>
      </c>
      <c r="B169" s="9" t="s">
        <v>150</v>
      </c>
      <c r="C169" s="9" t="s">
        <v>158</v>
      </c>
      <c r="D169" s="8">
        <v>200</v>
      </c>
      <c r="E169" s="6">
        <v>20000</v>
      </c>
      <c r="F169" s="6">
        <v>20000</v>
      </c>
      <c r="G169" s="101">
        <f t="shared" si="14"/>
        <v>1</v>
      </c>
      <c r="H169" s="1"/>
      <c r="I169" s="1"/>
    </row>
    <row r="170" spans="1:9" ht="22.5">
      <c r="A170" s="19" t="s">
        <v>159</v>
      </c>
      <c r="B170" s="20" t="s">
        <v>150</v>
      </c>
      <c r="C170" s="20" t="s">
        <v>160</v>
      </c>
      <c r="D170" s="20"/>
      <c r="E170" s="21">
        <f t="shared" ref="E170:F172" si="19">E171</f>
        <v>25000</v>
      </c>
      <c r="F170" s="21">
        <f t="shared" si="19"/>
        <v>25000</v>
      </c>
      <c r="G170" s="101">
        <f t="shared" si="14"/>
        <v>1</v>
      </c>
      <c r="H170" s="1"/>
      <c r="I170" s="1"/>
    </row>
    <row r="171" spans="1:9" ht="22.5">
      <c r="A171" s="22" t="s">
        <v>161</v>
      </c>
      <c r="B171" s="23" t="s">
        <v>150</v>
      </c>
      <c r="C171" s="23" t="s">
        <v>162</v>
      </c>
      <c r="D171" s="23"/>
      <c r="E171" s="24">
        <f t="shared" si="19"/>
        <v>25000</v>
      </c>
      <c r="F171" s="24">
        <f t="shared" si="19"/>
        <v>25000</v>
      </c>
      <c r="G171" s="101">
        <f t="shared" si="14"/>
        <v>1</v>
      </c>
      <c r="H171" s="1"/>
      <c r="I171" s="1"/>
    </row>
    <row r="172" spans="1:9" ht="22.5">
      <c r="A172" s="14" t="s">
        <v>163</v>
      </c>
      <c r="B172" s="15" t="s">
        <v>150</v>
      </c>
      <c r="C172" s="15" t="s">
        <v>164</v>
      </c>
      <c r="D172" s="15"/>
      <c r="E172" s="16">
        <f t="shared" si="19"/>
        <v>25000</v>
      </c>
      <c r="F172" s="16">
        <f t="shared" si="19"/>
        <v>25000</v>
      </c>
      <c r="G172" s="101">
        <f t="shared" si="14"/>
        <v>1</v>
      </c>
      <c r="H172" s="1"/>
      <c r="I172" s="1"/>
    </row>
    <row r="173" spans="1:9" ht="22.5">
      <c r="A173" s="14" t="s">
        <v>26</v>
      </c>
      <c r="B173" s="15" t="s">
        <v>150</v>
      </c>
      <c r="C173" s="15" t="s">
        <v>164</v>
      </c>
      <c r="D173" s="15" t="s">
        <v>37</v>
      </c>
      <c r="E173" s="6">
        <v>25000</v>
      </c>
      <c r="F173" s="6">
        <v>25000</v>
      </c>
      <c r="G173" s="101">
        <f t="shared" si="14"/>
        <v>1</v>
      </c>
      <c r="H173" s="1"/>
      <c r="I173" s="1"/>
    </row>
    <row r="174" spans="1:9" ht="12.75">
      <c r="A174" s="14" t="s">
        <v>168</v>
      </c>
      <c r="B174" s="15" t="s">
        <v>169</v>
      </c>
      <c r="C174" s="15"/>
      <c r="D174" s="15"/>
      <c r="E174" s="16">
        <f>E175+E183+E197+E214</f>
        <v>54911117.010000005</v>
      </c>
      <c r="F174" s="16">
        <f>F175+F183+F197+F214</f>
        <v>52411846.040000007</v>
      </c>
      <c r="G174" s="101">
        <f t="shared" si="14"/>
        <v>0.95448515517277044</v>
      </c>
      <c r="H174" s="1"/>
      <c r="I174" s="1"/>
    </row>
    <row r="175" spans="1:9" ht="12.75">
      <c r="A175" s="14" t="s">
        <v>170</v>
      </c>
      <c r="B175" s="15" t="s">
        <v>171</v>
      </c>
      <c r="C175" s="15"/>
      <c r="D175" s="15"/>
      <c r="E175" s="16">
        <f t="shared" ref="E175:F177" si="20">E176</f>
        <v>90000</v>
      </c>
      <c r="F175" s="16">
        <f t="shared" si="20"/>
        <v>88753.900000000009</v>
      </c>
      <c r="G175" s="101">
        <f t="shared" si="14"/>
        <v>0.98615444444444456</v>
      </c>
      <c r="H175" s="1"/>
      <c r="I175" s="1"/>
    </row>
    <row r="176" spans="1:9" ht="31.5">
      <c r="A176" s="17" t="s">
        <v>67</v>
      </c>
      <c r="B176" s="13" t="s">
        <v>171</v>
      </c>
      <c r="C176" s="13" t="s">
        <v>68</v>
      </c>
      <c r="D176" s="13"/>
      <c r="E176" s="18">
        <f t="shared" si="20"/>
        <v>90000</v>
      </c>
      <c r="F176" s="18">
        <f t="shared" si="20"/>
        <v>88753.900000000009</v>
      </c>
      <c r="G176" s="101">
        <f t="shared" si="14"/>
        <v>0.98615444444444456</v>
      </c>
      <c r="H176" s="1"/>
      <c r="I176" s="1"/>
    </row>
    <row r="177" spans="1:9" ht="12.75">
      <c r="A177" s="19" t="s">
        <v>172</v>
      </c>
      <c r="B177" s="20" t="s">
        <v>171</v>
      </c>
      <c r="C177" s="20" t="s">
        <v>173</v>
      </c>
      <c r="D177" s="20"/>
      <c r="E177" s="21">
        <f t="shared" si="20"/>
        <v>90000</v>
      </c>
      <c r="F177" s="21">
        <f t="shared" si="20"/>
        <v>88753.900000000009</v>
      </c>
      <c r="G177" s="101">
        <f t="shared" si="14"/>
        <v>0.98615444444444456</v>
      </c>
      <c r="H177" s="1"/>
      <c r="I177" s="1"/>
    </row>
    <row r="178" spans="1:9" ht="12.75">
      <c r="A178" s="22" t="s">
        <v>174</v>
      </c>
      <c r="B178" s="23" t="s">
        <v>171</v>
      </c>
      <c r="C178" s="23" t="s">
        <v>175</v>
      </c>
      <c r="D178" s="23"/>
      <c r="E178" s="24">
        <f>E179+E181</f>
        <v>90000</v>
      </c>
      <c r="F178" s="24">
        <f>F179+F181</f>
        <v>88753.900000000009</v>
      </c>
      <c r="G178" s="101">
        <f t="shared" si="14"/>
        <v>0.98615444444444456</v>
      </c>
      <c r="H178" s="1"/>
      <c r="I178" s="1"/>
    </row>
    <row r="179" spans="1:9" ht="12.75">
      <c r="A179" s="63" t="s">
        <v>176</v>
      </c>
      <c r="B179" s="15" t="s">
        <v>171</v>
      </c>
      <c r="C179" s="15" t="s">
        <v>177</v>
      </c>
      <c r="D179" s="15"/>
      <c r="E179" s="16">
        <f>E180</f>
        <v>20000</v>
      </c>
      <c r="F179" s="16">
        <f>F180</f>
        <v>19884.990000000002</v>
      </c>
      <c r="G179" s="101">
        <f t="shared" si="14"/>
        <v>0.99424950000000012</v>
      </c>
      <c r="H179" s="1"/>
      <c r="I179" s="1"/>
    </row>
    <row r="180" spans="1:9" ht="22.5">
      <c r="A180" s="64" t="s">
        <v>178</v>
      </c>
      <c r="B180" s="65" t="s">
        <v>171</v>
      </c>
      <c r="C180" s="15" t="s">
        <v>177</v>
      </c>
      <c r="D180" s="15" t="s">
        <v>179</v>
      </c>
      <c r="E180" s="6">
        <v>20000</v>
      </c>
      <c r="F180" s="6">
        <v>19884.990000000002</v>
      </c>
      <c r="G180" s="101">
        <f t="shared" si="14"/>
        <v>0.99424950000000012</v>
      </c>
      <c r="H180" s="1"/>
      <c r="I180" s="1"/>
    </row>
    <row r="181" spans="1:9" ht="25.5" customHeight="1">
      <c r="A181" s="14" t="s">
        <v>180</v>
      </c>
      <c r="B181" s="15" t="s">
        <v>171</v>
      </c>
      <c r="C181" s="15" t="s">
        <v>181</v>
      </c>
      <c r="D181" s="15"/>
      <c r="E181" s="16">
        <f>E182</f>
        <v>70000</v>
      </c>
      <c r="F181" s="16">
        <f>F182</f>
        <v>68868.91</v>
      </c>
      <c r="G181" s="101">
        <f t="shared" ref="G181:G230" si="21">F181/E181</f>
        <v>0.98384157142857143</v>
      </c>
      <c r="H181" s="1"/>
      <c r="I181" s="1"/>
    </row>
    <row r="182" spans="1:9" ht="22.5">
      <c r="A182" s="66" t="s">
        <v>182</v>
      </c>
      <c r="B182" s="67" t="s">
        <v>171</v>
      </c>
      <c r="C182" s="8" t="s">
        <v>181</v>
      </c>
      <c r="D182" s="8" t="s">
        <v>179</v>
      </c>
      <c r="E182" s="6">
        <v>70000</v>
      </c>
      <c r="F182" s="6">
        <v>68868.91</v>
      </c>
      <c r="G182" s="101">
        <f t="shared" si="21"/>
        <v>0.98384157142857143</v>
      </c>
      <c r="H182" s="1"/>
      <c r="I182" s="1"/>
    </row>
    <row r="183" spans="1:9" ht="12.75">
      <c r="A183" s="68" t="s">
        <v>183</v>
      </c>
      <c r="B183" s="15" t="s">
        <v>184</v>
      </c>
      <c r="C183" s="15"/>
      <c r="D183" s="15"/>
      <c r="E183" s="16">
        <f>E184</f>
        <v>2506725.06</v>
      </c>
      <c r="F183" s="16">
        <f>F184</f>
        <v>2441333.4900000002</v>
      </c>
      <c r="G183" s="101">
        <f t="shared" si="21"/>
        <v>0.97391354518951523</v>
      </c>
      <c r="H183" s="1"/>
      <c r="I183" s="1"/>
    </row>
    <row r="184" spans="1:9" ht="31.5">
      <c r="A184" s="39" t="s">
        <v>98</v>
      </c>
      <c r="B184" s="42" t="s">
        <v>184</v>
      </c>
      <c r="C184" s="33" t="s">
        <v>99</v>
      </c>
      <c r="D184" s="8"/>
      <c r="E184" s="34">
        <f>E185+E191</f>
        <v>2506725.06</v>
      </c>
      <c r="F184" s="34">
        <f>F185+F191</f>
        <v>2441333.4900000002</v>
      </c>
      <c r="G184" s="101">
        <f t="shared" si="21"/>
        <v>0.97391354518951523</v>
      </c>
      <c r="H184" s="1"/>
      <c r="I184" s="1"/>
    </row>
    <row r="185" spans="1:9" ht="22.5">
      <c r="A185" s="35" t="s">
        <v>100</v>
      </c>
      <c r="B185" s="40" t="s">
        <v>184</v>
      </c>
      <c r="C185" s="36" t="s">
        <v>101</v>
      </c>
      <c r="D185" s="8"/>
      <c r="E185" s="27">
        <f>E186</f>
        <v>1761725.06</v>
      </c>
      <c r="F185" s="27">
        <f>F186</f>
        <v>1761725.06</v>
      </c>
      <c r="G185" s="101">
        <f t="shared" si="21"/>
        <v>1</v>
      </c>
      <c r="H185" s="1"/>
      <c r="I185" s="1"/>
    </row>
    <row r="186" spans="1:9" ht="22.5">
      <c r="A186" s="37" t="s">
        <v>102</v>
      </c>
      <c r="B186" s="40" t="s">
        <v>184</v>
      </c>
      <c r="C186" s="38" t="s">
        <v>103</v>
      </c>
      <c r="D186" s="8"/>
      <c r="E186" s="29">
        <f>E189+E187</f>
        <v>1761725.06</v>
      </c>
      <c r="F186" s="29">
        <f>F189+F187</f>
        <v>1761725.06</v>
      </c>
      <c r="G186" s="101">
        <f t="shared" si="21"/>
        <v>1</v>
      </c>
      <c r="H186" s="1"/>
      <c r="I186" s="1"/>
    </row>
    <row r="187" spans="1:9" ht="22.5">
      <c r="A187" s="7" t="s">
        <v>185</v>
      </c>
      <c r="B187" s="9" t="s">
        <v>184</v>
      </c>
      <c r="C187" s="9" t="s">
        <v>186</v>
      </c>
      <c r="D187" s="9"/>
      <c r="E187" s="6">
        <f>E188</f>
        <v>1520925</v>
      </c>
      <c r="F187" s="6">
        <f>F188</f>
        <v>1520925</v>
      </c>
      <c r="G187" s="101">
        <f t="shared" si="21"/>
        <v>1</v>
      </c>
      <c r="H187" s="1"/>
      <c r="I187" s="1"/>
    </row>
    <row r="188" spans="1:9" ht="12.75">
      <c r="A188" s="7" t="s">
        <v>83</v>
      </c>
      <c r="B188" s="9" t="s">
        <v>184</v>
      </c>
      <c r="C188" s="9" t="s">
        <v>186</v>
      </c>
      <c r="D188" s="77" t="s">
        <v>136</v>
      </c>
      <c r="E188" s="6">
        <f>0+12071734+320337-10871146</f>
        <v>1520925</v>
      </c>
      <c r="F188" s="6">
        <f>0+12071734+320337-10871146</f>
        <v>1520925</v>
      </c>
      <c r="G188" s="101">
        <f t="shared" si="21"/>
        <v>1</v>
      </c>
      <c r="H188" s="1"/>
      <c r="I188" s="1"/>
    </row>
    <row r="189" spans="1:9" ht="12.75">
      <c r="A189" s="7" t="s">
        <v>187</v>
      </c>
      <c r="B189" s="9" t="s">
        <v>184</v>
      </c>
      <c r="C189" s="9" t="s">
        <v>188</v>
      </c>
      <c r="D189" s="8"/>
      <c r="E189" s="6">
        <f>E190</f>
        <v>240800.06</v>
      </c>
      <c r="F189" s="6">
        <f>F190</f>
        <v>240800.06</v>
      </c>
      <c r="G189" s="101">
        <f t="shared" si="21"/>
        <v>1</v>
      </c>
      <c r="H189" s="1"/>
      <c r="I189" s="1"/>
    </row>
    <row r="190" spans="1:9" ht="12.75">
      <c r="A190" s="7" t="s">
        <v>83</v>
      </c>
      <c r="B190" s="9" t="s">
        <v>184</v>
      </c>
      <c r="C190" s="9" t="s">
        <v>188</v>
      </c>
      <c r="D190" s="8">
        <v>500</v>
      </c>
      <c r="E190" s="6">
        <f>560000-319199.94</f>
        <v>240800.06</v>
      </c>
      <c r="F190" s="6">
        <f>560000-319199.94</f>
        <v>240800.06</v>
      </c>
      <c r="G190" s="101">
        <f t="shared" si="21"/>
        <v>1</v>
      </c>
      <c r="H190" s="1"/>
      <c r="I190" s="1"/>
    </row>
    <row r="191" spans="1:9" ht="12.75">
      <c r="A191" s="19" t="s">
        <v>189</v>
      </c>
      <c r="B191" s="26" t="s">
        <v>184</v>
      </c>
      <c r="C191" s="26" t="s">
        <v>190</v>
      </c>
      <c r="D191" s="20"/>
      <c r="E191" s="21">
        <f>E192</f>
        <v>745000</v>
      </c>
      <c r="F191" s="21">
        <f>F192</f>
        <v>679608.43</v>
      </c>
      <c r="G191" s="101">
        <f t="shared" si="21"/>
        <v>0.91222608053691279</v>
      </c>
      <c r="H191" s="3"/>
      <c r="I191" s="1"/>
    </row>
    <row r="192" spans="1:9" ht="12.75">
      <c r="A192" s="22" t="s">
        <v>191</v>
      </c>
      <c r="B192" s="28" t="s">
        <v>184</v>
      </c>
      <c r="C192" s="28" t="s">
        <v>192</v>
      </c>
      <c r="D192" s="23"/>
      <c r="E192" s="24">
        <f>E193+E195</f>
        <v>745000</v>
      </c>
      <c r="F192" s="24">
        <f>F193+F195</f>
        <v>679608.43</v>
      </c>
      <c r="G192" s="101">
        <f t="shared" si="21"/>
        <v>0.91222608053691279</v>
      </c>
      <c r="H192" s="3"/>
      <c r="I192" s="1"/>
    </row>
    <row r="193" spans="1:9" ht="22.5" hidden="1">
      <c r="A193" s="14" t="s">
        <v>193</v>
      </c>
      <c r="B193" s="25" t="s">
        <v>184</v>
      </c>
      <c r="C193" s="25" t="s">
        <v>194</v>
      </c>
      <c r="D193" s="15"/>
      <c r="E193" s="16">
        <f>E194</f>
        <v>0</v>
      </c>
      <c r="F193" s="16">
        <f>F194</f>
        <v>0</v>
      </c>
      <c r="G193" s="101" t="e">
        <f t="shared" si="21"/>
        <v>#DIV/0!</v>
      </c>
      <c r="H193" s="3"/>
      <c r="I193" s="1"/>
    </row>
    <row r="194" spans="1:9" ht="22.5" hidden="1">
      <c r="A194" s="7" t="s">
        <v>26</v>
      </c>
      <c r="B194" s="25" t="s">
        <v>184</v>
      </c>
      <c r="C194" s="25" t="s">
        <v>194</v>
      </c>
      <c r="D194" s="15">
        <v>200</v>
      </c>
      <c r="E194" s="16">
        <v>0</v>
      </c>
      <c r="F194" s="16">
        <v>0</v>
      </c>
      <c r="G194" s="101" t="e">
        <f t="shared" si="21"/>
        <v>#DIV/0!</v>
      </c>
      <c r="H194" s="3"/>
      <c r="I194" s="1"/>
    </row>
    <row r="195" spans="1:9" ht="22.5">
      <c r="A195" s="14" t="s">
        <v>195</v>
      </c>
      <c r="B195" s="25" t="s">
        <v>184</v>
      </c>
      <c r="C195" s="25" t="s">
        <v>196</v>
      </c>
      <c r="D195" s="15"/>
      <c r="E195" s="16">
        <f>E196</f>
        <v>745000</v>
      </c>
      <c r="F195" s="16">
        <f>F196</f>
        <v>679608.43</v>
      </c>
      <c r="G195" s="101">
        <f t="shared" si="21"/>
        <v>0.91222608053691279</v>
      </c>
      <c r="H195" s="3"/>
      <c r="I195" s="1"/>
    </row>
    <row r="196" spans="1:9" ht="22.5">
      <c r="A196" s="7" t="s">
        <v>26</v>
      </c>
      <c r="B196" s="25" t="s">
        <v>184</v>
      </c>
      <c r="C196" s="25" t="s">
        <v>196</v>
      </c>
      <c r="D196" s="15">
        <v>200</v>
      </c>
      <c r="E196" s="16">
        <f>736380+8620</f>
        <v>745000</v>
      </c>
      <c r="F196" s="16">
        <v>679608.43</v>
      </c>
      <c r="G196" s="101">
        <f t="shared" si="21"/>
        <v>0.91222608053691279</v>
      </c>
      <c r="H196" s="3"/>
      <c r="I196" s="1"/>
    </row>
    <row r="197" spans="1:9" ht="12.75">
      <c r="A197" s="14" t="s">
        <v>197</v>
      </c>
      <c r="B197" s="15" t="s">
        <v>198</v>
      </c>
      <c r="C197" s="15"/>
      <c r="D197" s="15"/>
      <c r="E197" s="16">
        <f>E198</f>
        <v>52078239.210000001</v>
      </c>
      <c r="F197" s="16">
        <f>F198</f>
        <v>49645605.910000004</v>
      </c>
      <c r="G197" s="101">
        <f t="shared" si="21"/>
        <v>0.95328887195685208</v>
      </c>
      <c r="H197" s="1"/>
      <c r="I197" s="1"/>
    </row>
    <row r="198" spans="1:9" ht="21">
      <c r="A198" s="17" t="s">
        <v>199</v>
      </c>
      <c r="B198" s="13" t="s">
        <v>198</v>
      </c>
      <c r="C198" s="13" t="s">
        <v>165</v>
      </c>
      <c r="D198" s="13"/>
      <c r="E198" s="18">
        <f>E199+E208</f>
        <v>52078239.210000001</v>
      </c>
      <c r="F198" s="18">
        <f>F199+F208</f>
        <v>49645605.910000004</v>
      </c>
      <c r="G198" s="101">
        <f t="shared" si="21"/>
        <v>0.95328887195685208</v>
      </c>
      <c r="H198" s="1"/>
      <c r="I198" s="1"/>
    </row>
    <row r="199" spans="1:9" ht="33.75">
      <c r="A199" s="19" t="s">
        <v>200</v>
      </c>
      <c r="B199" s="20" t="s">
        <v>198</v>
      </c>
      <c r="C199" s="20" t="s">
        <v>201</v>
      </c>
      <c r="D199" s="20"/>
      <c r="E199" s="21">
        <f>E200+E203</f>
        <v>45828239.210000001</v>
      </c>
      <c r="F199" s="21">
        <f>F200+F203</f>
        <v>43395605.910000004</v>
      </c>
      <c r="G199" s="101">
        <f t="shared" si="21"/>
        <v>0.94691846464244733</v>
      </c>
      <c r="H199" s="1"/>
      <c r="I199" s="1"/>
    </row>
    <row r="200" spans="1:9" ht="22.5">
      <c r="A200" s="37" t="s">
        <v>202</v>
      </c>
      <c r="B200" s="38" t="s">
        <v>198</v>
      </c>
      <c r="C200" s="38" t="s">
        <v>203</v>
      </c>
      <c r="D200" s="38"/>
      <c r="E200" s="29">
        <f>E201</f>
        <v>8331956.4700000007</v>
      </c>
      <c r="F200" s="29">
        <f>F201</f>
        <v>5899727.21</v>
      </c>
      <c r="G200" s="101">
        <f t="shared" si="21"/>
        <v>0.70808425743011583</v>
      </c>
      <c r="H200" s="1"/>
      <c r="I200" s="1"/>
    </row>
    <row r="201" spans="1:9" ht="33.75">
      <c r="A201" s="7" t="s">
        <v>204</v>
      </c>
      <c r="B201" s="8" t="s">
        <v>198</v>
      </c>
      <c r="C201" s="8" t="s">
        <v>205</v>
      </c>
      <c r="D201" s="8"/>
      <c r="E201" s="6">
        <f>E202</f>
        <v>8331956.4700000007</v>
      </c>
      <c r="F201" s="6">
        <f>F202</f>
        <v>5899727.21</v>
      </c>
      <c r="G201" s="101">
        <f t="shared" si="21"/>
        <v>0.70808425743011583</v>
      </c>
      <c r="H201" s="1"/>
      <c r="I201" s="1"/>
    </row>
    <row r="202" spans="1:9" ht="22.5">
      <c r="A202" s="7" t="s">
        <v>26</v>
      </c>
      <c r="B202" s="8" t="s">
        <v>198</v>
      </c>
      <c r="C202" s="8" t="s">
        <v>205</v>
      </c>
      <c r="D202" s="8" t="s">
        <v>37</v>
      </c>
      <c r="E202" s="6">
        <f>6033000+525000+3323931.74-1591010.1-199986.63+241021.46</f>
        <v>8331956.4700000007</v>
      </c>
      <c r="F202" s="6">
        <v>5899727.21</v>
      </c>
      <c r="G202" s="101">
        <f t="shared" si="21"/>
        <v>0.70808425743011583</v>
      </c>
      <c r="H202" s="1"/>
      <c r="I202" s="1"/>
    </row>
    <row r="203" spans="1:9" ht="12.75">
      <c r="A203" s="22" t="s">
        <v>206</v>
      </c>
      <c r="B203" s="23" t="s">
        <v>198</v>
      </c>
      <c r="C203" s="23" t="s">
        <v>207</v>
      </c>
      <c r="D203" s="23"/>
      <c r="E203" s="24">
        <f>E204+E206</f>
        <v>37496282.740000002</v>
      </c>
      <c r="F203" s="24">
        <f>F204+F206</f>
        <v>37495878.700000003</v>
      </c>
      <c r="G203" s="101">
        <f t="shared" si="21"/>
        <v>0.9999892245318609</v>
      </c>
      <c r="H203" s="1"/>
      <c r="I203" s="1"/>
    </row>
    <row r="204" spans="1:9" ht="45">
      <c r="A204" s="14" t="s">
        <v>208</v>
      </c>
      <c r="B204" s="15" t="s">
        <v>198</v>
      </c>
      <c r="C204" s="15" t="s">
        <v>209</v>
      </c>
      <c r="D204" s="15"/>
      <c r="E204" s="16">
        <f>E205</f>
        <v>1950097.7400000002</v>
      </c>
      <c r="F204" s="16">
        <f>F205</f>
        <v>1950053.7</v>
      </c>
      <c r="G204" s="101">
        <f t="shared" si="21"/>
        <v>0.99997741651656891</v>
      </c>
      <c r="H204" s="1"/>
      <c r="I204" s="1"/>
    </row>
    <row r="205" spans="1:9" ht="22.5">
      <c r="A205" s="7" t="s">
        <v>26</v>
      </c>
      <c r="B205" s="8" t="s">
        <v>198</v>
      </c>
      <c r="C205" s="15" t="s">
        <v>209</v>
      </c>
      <c r="D205" s="8" t="s">
        <v>37</v>
      </c>
      <c r="E205" s="6">
        <f>159101.01+1591010.1+199986.63</f>
        <v>1950097.7400000002</v>
      </c>
      <c r="F205" s="6">
        <v>1950053.7</v>
      </c>
      <c r="G205" s="101">
        <f t="shared" si="21"/>
        <v>0.99997741651656891</v>
      </c>
      <c r="H205" s="1"/>
      <c r="I205" s="1"/>
    </row>
    <row r="206" spans="1:9" ht="67.5">
      <c r="A206" s="14" t="s">
        <v>210</v>
      </c>
      <c r="B206" s="15" t="s">
        <v>198</v>
      </c>
      <c r="C206" s="15" t="s">
        <v>211</v>
      </c>
      <c r="D206" s="15"/>
      <c r="E206" s="16">
        <f>E207</f>
        <v>35546185</v>
      </c>
      <c r="F206" s="16">
        <f>F207</f>
        <v>35545825</v>
      </c>
      <c r="G206" s="101">
        <f t="shared" si="21"/>
        <v>0.99998987233088443</v>
      </c>
      <c r="H206" s="1"/>
      <c r="I206" s="1"/>
    </row>
    <row r="207" spans="1:9" ht="22.5">
      <c r="A207" s="7" t="s">
        <v>26</v>
      </c>
      <c r="B207" s="8" t="s">
        <v>198</v>
      </c>
      <c r="C207" s="8" t="s">
        <v>211</v>
      </c>
      <c r="D207" s="8" t="s">
        <v>37</v>
      </c>
      <c r="E207" s="6">
        <f>15751000+19795185</f>
        <v>35546185</v>
      </c>
      <c r="F207" s="6">
        <v>35545825</v>
      </c>
      <c r="G207" s="101">
        <f t="shared" si="21"/>
        <v>0.99998987233088443</v>
      </c>
      <c r="H207" s="1"/>
      <c r="I207" s="1"/>
    </row>
    <row r="208" spans="1:9" ht="22.5">
      <c r="A208" s="19" t="s">
        <v>166</v>
      </c>
      <c r="B208" s="36" t="s">
        <v>198</v>
      </c>
      <c r="C208" s="26" t="s">
        <v>167</v>
      </c>
      <c r="D208" s="20"/>
      <c r="E208" s="21">
        <f>E209</f>
        <v>6250000</v>
      </c>
      <c r="F208" s="21">
        <f>F209</f>
        <v>6250000</v>
      </c>
      <c r="G208" s="101">
        <f t="shared" si="21"/>
        <v>1</v>
      </c>
      <c r="H208" s="1"/>
      <c r="I208" s="1"/>
    </row>
    <row r="209" spans="1:9" ht="12.75">
      <c r="A209" s="22" t="s">
        <v>212</v>
      </c>
      <c r="B209" s="38" t="s">
        <v>198</v>
      </c>
      <c r="C209" s="28" t="s">
        <v>213</v>
      </c>
      <c r="D209" s="23"/>
      <c r="E209" s="24">
        <f>E210+E212</f>
        <v>6250000</v>
      </c>
      <c r="F209" s="24">
        <f>F210+F212</f>
        <v>6250000</v>
      </c>
      <c r="G209" s="101">
        <f t="shared" si="21"/>
        <v>1</v>
      </c>
      <c r="H209" s="1"/>
      <c r="I209" s="1"/>
    </row>
    <row r="210" spans="1:9" ht="12.75">
      <c r="A210" s="14" t="s">
        <v>214</v>
      </c>
      <c r="B210" s="8" t="s">
        <v>198</v>
      </c>
      <c r="C210" s="25" t="s">
        <v>215</v>
      </c>
      <c r="D210" s="15"/>
      <c r="E210" s="16">
        <f>E211</f>
        <v>62500</v>
      </c>
      <c r="F210" s="16">
        <f>F211</f>
        <v>62500</v>
      </c>
      <c r="G210" s="101">
        <f t="shared" si="21"/>
        <v>1</v>
      </c>
      <c r="H210" s="1"/>
      <c r="I210" s="1"/>
    </row>
    <row r="211" spans="1:9" ht="22.5">
      <c r="A211" s="76" t="s">
        <v>258</v>
      </c>
      <c r="B211" s="8" t="s">
        <v>198</v>
      </c>
      <c r="C211" s="25" t="s">
        <v>215</v>
      </c>
      <c r="D211" s="15">
        <v>400</v>
      </c>
      <c r="E211" s="16">
        <v>62500</v>
      </c>
      <c r="F211" s="16">
        <v>62500</v>
      </c>
      <c r="G211" s="101">
        <f t="shared" si="21"/>
        <v>1</v>
      </c>
      <c r="H211" s="1"/>
      <c r="I211" s="1"/>
    </row>
    <row r="212" spans="1:9" ht="12.75">
      <c r="A212" s="14" t="s">
        <v>216</v>
      </c>
      <c r="B212" s="8" t="s">
        <v>198</v>
      </c>
      <c r="C212" s="25" t="s">
        <v>217</v>
      </c>
      <c r="D212" s="15"/>
      <c r="E212" s="16">
        <f>E213</f>
        <v>6187500</v>
      </c>
      <c r="F212" s="16">
        <f>F213</f>
        <v>6187500</v>
      </c>
      <c r="G212" s="101">
        <f t="shared" si="21"/>
        <v>1</v>
      </c>
      <c r="H212" s="1"/>
      <c r="I212" s="1"/>
    </row>
    <row r="213" spans="1:9" ht="22.5">
      <c r="A213" s="76" t="s">
        <v>258</v>
      </c>
      <c r="B213" s="8" t="s">
        <v>198</v>
      </c>
      <c r="C213" s="25" t="s">
        <v>217</v>
      </c>
      <c r="D213" s="15">
        <v>400</v>
      </c>
      <c r="E213" s="16">
        <v>6187500</v>
      </c>
      <c r="F213" s="16">
        <v>6187500</v>
      </c>
      <c r="G213" s="101">
        <f t="shared" si="21"/>
        <v>1</v>
      </c>
      <c r="H213" s="1"/>
      <c r="I213" s="1"/>
    </row>
    <row r="214" spans="1:9" ht="12.75">
      <c r="A214" s="7" t="s">
        <v>218</v>
      </c>
      <c r="B214" s="8" t="s">
        <v>219</v>
      </c>
      <c r="C214" s="8"/>
      <c r="D214" s="8"/>
      <c r="E214" s="6">
        <f>E222+E215</f>
        <v>236152.74</v>
      </c>
      <c r="F214" s="6">
        <f>F222+F215</f>
        <v>236152.74</v>
      </c>
      <c r="G214" s="101">
        <f t="shared" si="21"/>
        <v>1</v>
      </c>
      <c r="H214" s="1"/>
      <c r="I214" s="1"/>
    </row>
    <row r="215" spans="1:9" ht="21">
      <c r="A215" s="17" t="s">
        <v>220</v>
      </c>
      <c r="B215" s="42" t="s">
        <v>219</v>
      </c>
      <c r="C215" s="42" t="s">
        <v>221</v>
      </c>
      <c r="D215" s="33"/>
      <c r="E215" s="34">
        <f>E216</f>
        <v>126262.63</v>
      </c>
      <c r="F215" s="34">
        <f>F216</f>
        <v>126262.63</v>
      </c>
      <c r="G215" s="101">
        <f t="shared" si="21"/>
        <v>1</v>
      </c>
      <c r="H215" s="1"/>
      <c r="I215" s="1"/>
    </row>
    <row r="216" spans="1:9" ht="12.75">
      <c r="A216" s="69" t="s">
        <v>222</v>
      </c>
      <c r="B216" s="40" t="s">
        <v>223</v>
      </c>
      <c r="C216" s="40" t="s">
        <v>224</v>
      </c>
      <c r="D216" s="36"/>
      <c r="E216" s="27">
        <f>E217</f>
        <v>126262.63</v>
      </c>
      <c r="F216" s="27">
        <f>F217</f>
        <v>126262.63</v>
      </c>
      <c r="G216" s="101">
        <f t="shared" si="21"/>
        <v>1</v>
      </c>
      <c r="H216" s="1"/>
      <c r="I216" s="1"/>
    </row>
    <row r="217" spans="1:9" ht="22.5">
      <c r="A217" s="70" t="s">
        <v>225</v>
      </c>
      <c r="B217" s="41" t="s">
        <v>226</v>
      </c>
      <c r="C217" s="41" t="s">
        <v>227</v>
      </c>
      <c r="D217" s="38"/>
      <c r="E217" s="29">
        <f>E218+E220</f>
        <v>126262.63</v>
      </c>
      <c r="F217" s="29">
        <f>F218+F220</f>
        <v>126262.63</v>
      </c>
      <c r="G217" s="101">
        <f t="shared" si="21"/>
        <v>1</v>
      </c>
      <c r="H217" s="1"/>
      <c r="I217" s="1"/>
    </row>
    <row r="218" spans="1:9" ht="12.75">
      <c r="A218" s="14" t="s">
        <v>228</v>
      </c>
      <c r="B218" s="9" t="s">
        <v>219</v>
      </c>
      <c r="C218" s="9" t="s">
        <v>229</v>
      </c>
      <c r="D218" s="8"/>
      <c r="E218" s="6">
        <f>E219</f>
        <v>1262.6300000000001</v>
      </c>
      <c r="F218" s="6">
        <f>F219</f>
        <v>1262.6300000000001</v>
      </c>
      <c r="G218" s="101">
        <f t="shared" si="21"/>
        <v>1</v>
      </c>
      <c r="H218" s="1"/>
      <c r="I218" s="1"/>
    </row>
    <row r="219" spans="1:9" ht="22.5">
      <c r="A219" s="7" t="s">
        <v>26</v>
      </c>
      <c r="B219" s="9" t="s">
        <v>219</v>
      </c>
      <c r="C219" s="9" t="s">
        <v>229</v>
      </c>
      <c r="D219" s="8">
        <v>200</v>
      </c>
      <c r="E219" s="6">
        <v>1262.6300000000001</v>
      </c>
      <c r="F219" s="6">
        <v>1262.6300000000001</v>
      </c>
      <c r="G219" s="101">
        <f t="shared" si="21"/>
        <v>1</v>
      </c>
      <c r="H219" s="1"/>
      <c r="I219" s="1"/>
    </row>
    <row r="220" spans="1:9" ht="12.75">
      <c r="A220" s="14" t="s">
        <v>230</v>
      </c>
      <c r="B220" s="9" t="s">
        <v>219</v>
      </c>
      <c r="C220" s="9" t="s">
        <v>231</v>
      </c>
      <c r="D220" s="8"/>
      <c r="E220" s="6">
        <f>E221</f>
        <v>125000</v>
      </c>
      <c r="F220" s="6">
        <f>F221</f>
        <v>125000</v>
      </c>
      <c r="G220" s="101">
        <f t="shared" si="21"/>
        <v>1</v>
      </c>
      <c r="H220" s="1"/>
      <c r="I220" s="1"/>
    </row>
    <row r="221" spans="1:9" ht="22.5">
      <c r="A221" s="7" t="s">
        <v>26</v>
      </c>
      <c r="B221" s="9" t="s">
        <v>219</v>
      </c>
      <c r="C221" s="9" t="s">
        <v>231</v>
      </c>
      <c r="D221" s="8">
        <v>200</v>
      </c>
      <c r="E221" s="6">
        <v>125000</v>
      </c>
      <c r="F221" s="6">
        <v>125000</v>
      </c>
      <c r="G221" s="101">
        <f t="shared" si="21"/>
        <v>1</v>
      </c>
      <c r="H221" s="1"/>
      <c r="I221" s="1"/>
    </row>
    <row r="222" spans="1:9" ht="31.5">
      <c r="A222" s="71" t="s">
        <v>232</v>
      </c>
      <c r="B222" s="33" t="s">
        <v>219</v>
      </c>
      <c r="C222" s="33" t="s">
        <v>76</v>
      </c>
      <c r="D222" s="33"/>
      <c r="E222" s="34">
        <f>E223</f>
        <v>109890.11</v>
      </c>
      <c r="F222" s="34">
        <f>F223</f>
        <v>109890.11</v>
      </c>
      <c r="G222" s="101">
        <f t="shared" si="21"/>
        <v>1</v>
      </c>
      <c r="H222" s="1"/>
      <c r="I222" s="1"/>
    </row>
    <row r="223" spans="1:9" ht="33.75">
      <c r="A223" s="35" t="s">
        <v>233</v>
      </c>
      <c r="B223" s="36" t="s">
        <v>219</v>
      </c>
      <c r="C223" s="40" t="s">
        <v>234</v>
      </c>
      <c r="D223" s="33"/>
      <c r="E223" s="34">
        <f>E224</f>
        <v>109890.11</v>
      </c>
      <c r="F223" s="34">
        <f>F224</f>
        <v>109890.11</v>
      </c>
      <c r="G223" s="101">
        <f t="shared" si="21"/>
        <v>1</v>
      </c>
      <c r="H223" s="1"/>
      <c r="I223" s="1"/>
    </row>
    <row r="224" spans="1:9" ht="33.75">
      <c r="A224" s="37" t="s">
        <v>235</v>
      </c>
      <c r="B224" s="38" t="s">
        <v>219</v>
      </c>
      <c r="C224" s="41" t="s">
        <v>236</v>
      </c>
      <c r="D224" s="36"/>
      <c r="E224" s="27">
        <f>E225+E227</f>
        <v>109890.11</v>
      </c>
      <c r="F224" s="27">
        <f>F225+F227</f>
        <v>109890.11</v>
      </c>
      <c r="G224" s="101">
        <f t="shared" si="21"/>
        <v>1</v>
      </c>
      <c r="H224" s="1"/>
      <c r="I224" s="1"/>
    </row>
    <row r="225" spans="1:9" ht="22.5">
      <c r="A225" s="72" t="s">
        <v>237</v>
      </c>
      <c r="B225" s="8" t="s">
        <v>219</v>
      </c>
      <c r="C225" s="9" t="s">
        <v>238</v>
      </c>
      <c r="D225" s="8"/>
      <c r="E225" s="6">
        <f>E226</f>
        <v>9890.11</v>
      </c>
      <c r="F225" s="6">
        <f>F226</f>
        <v>9890.11</v>
      </c>
      <c r="G225" s="101">
        <f t="shared" si="21"/>
        <v>1</v>
      </c>
      <c r="H225" s="1"/>
      <c r="I225" s="1"/>
    </row>
    <row r="226" spans="1:9" ht="22.5">
      <c r="A226" s="66" t="s">
        <v>182</v>
      </c>
      <c r="B226" s="67" t="s">
        <v>219</v>
      </c>
      <c r="C226" s="9" t="s">
        <v>238</v>
      </c>
      <c r="D226" s="8">
        <v>600</v>
      </c>
      <c r="E226" s="6">
        <v>9890.11</v>
      </c>
      <c r="F226" s="6">
        <v>9890.11</v>
      </c>
      <c r="G226" s="101">
        <f t="shared" si="21"/>
        <v>1</v>
      </c>
      <c r="H226" s="1"/>
      <c r="I226" s="1"/>
    </row>
    <row r="227" spans="1:9" ht="22.5">
      <c r="A227" s="73" t="s">
        <v>239</v>
      </c>
      <c r="B227" s="8" t="s">
        <v>219</v>
      </c>
      <c r="C227" s="9" t="s">
        <v>240</v>
      </c>
      <c r="D227" s="38"/>
      <c r="E227" s="6">
        <f>E228</f>
        <v>100000</v>
      </c>
      <c r="F227" s="6">
        <f>F228</f>
        <v>100000</v>
      </c>
      <c r="G227" s="101">
        <f t="shared" si="21"/>
        <v>1</v>
      </c>
      <c r="H227" s="1"/>
      <c r="I227" s="1"/>
    </row>
    <row r="228" spans="1:9" ht="22.5">
      <c r="A228" s="66" t="s">
        <v>182</v>
      </c>
      <c r="B228" s="67" t="s">
        <v>219</v>
      </c>
      <c r="C228" s="9" t="s">
        <v>240</v>
      </c>
      <c r="D228" s="8">
        <v>600</v>
      </c>
      <c r="E228" s="6">
        <v>100000</v>
      </c>
      <c r="F228" s="6">
        <v>100000</v>
      </c>
      <c r="G228" s="101">
        <f t="shared" si="21"/>
        <v>1</v>
      </c>
      <c r="H228" s="1"/>
      <c r="I228" s="1"/>
    </row>
    <row r="229" spans="1:9" ht="12.75">
      <c r="A229" s="68" t="s">
        <v>241</v>
      </c>
      <c r="B229" s="15" t="s">
        <v>242</v>
      </c>
      <c r="C229" s="15"/>
      <c r="D229" s="15"/>
      <c r="E229" s="16">
        <f>E230+E236+E262</f>
        <v>36944161.109999999</v>
      </c>
      <c r="F229" s="16">
        <f>F230+F236+F262</f>
        <v>21133929.250000004</v>
      </c>
      <c r="G229" s="101">
        <f t="shared" si="21"/>
        <v>0.572050592435282</v>
      </c>
      <c r="H229" s="1"/>
      <c r="I229" s="1"/>
    </row>
    <row r="230" spans="1:9" ht="12.75">
      <c r="A230" s="14" t="s">
        <v>243</v>
      </c>
      <c r="B230" s="15" t="s">
        <v>244</v>
      </c>
      <c r="C230" s="15"/>
      <c r="D230" s="15"/>
      <c r="E230" s="16">
        <f t="shared" ref="E230:F234" si="22">E231</f>
        <v>1393514.04</v>
      </c>
      <c r="F230" s="16">
        <f t="shared" si="22"/>
        <v>1388713.96</v>
      </c>
      <c r="G230" s="101">
        <f t="shared" si="21"/>
        <v>0.99655541324865293</v>
      </c>
      <c r="H230" s="1"/>
      <c r="I230" s="1"/>
    </row>
    <row r="231" spans="1:9" ht="31.5">
      <c r="A231" s="17" t="s">
        <v>98</v>
      </c>
      <c r="B231" s="13" t="s">
        <v>244</v>
      </c>
      <c r="C231" s="13" t="s">
        <v>99</v>
      </c>
      <c r="D231" s="13"/>
      <c r="E231" s="18">
        <f t="shared" si="22"/>
        <v>1393514.04</v>
      </c>
      <c r="F231" s="18">
        <f t="shared" si="22"/>
        <v>1388713.96</v>
      </c>
      <c r="G231" s="101">
        <f t="shared" ref="G231:G280" si="23">F231/E231</f>
        <v>0.99655541324865293</v>
      </c>
      <c r="H231" s="1"/>
      <c r="I231" s="1"/>
    </row>
    <row r="232" spans="1:9" ht="22.5">
      <c r="A232" s="19" t="s">
        <v>100</v>
      </c>
      <c r="B232" s="20" t="s">
        <v>244</v>
      </c>
      <c r="C232" s="20" t="s">
        <v>101</v>
      </c>
      <c r="D232" s="20"/>
      <c r="E232" s="21">
        <f t="shared" si="22"/>
        <v>1393514.04</v>
      </c>
      <c r="F232" s="21">
        <f t="shared" si="22"/>
        <v>1388713.96</v>
      </c>
      <c r="G232" s="101">
        <f t="shared" si="23"/>
        <v>0.99655541324865293</v>
      </c>
      <c r="H232" s="1"/>
      <c r="I232" s="1"/>
    </row>
    <row r="233" spans="1:9" ht="22.5">
      <c r="A233" s="22" t="s">
        <v>102</v>
      </c>
      <c r="B233" s="23" t="s">
        <v>244</v>
      </c>
      <c r="C233" s="23" t="s">
        <v>103</v>
      </c>
      <c r="D233" s="23"/>
      <c r="E233" s="24">
        <f t="shared" si="22"/>
        <v>1393514.04</v>
      </c>
      <c r="F233" s="24">
        <f t="shared" si="22"/>
        <v>1388713.96</v>
      </c>
      <c r="G233" s="101">
        <f t="shared" si="23"/>
        <v>0.99655541324865293</v>
      </c>
      <c r="H233" s="1"/>
      <c r="I233" s="1"/>
    </row>
    <row r="234" spans="1:9" ht="22.5">
      <c r="A234" s="14" t="s">
        <v>245</v>
      </c>
      <c r="B234" s="15" t="s">
        <v>244</v>
      </c>
      <c r="C234" s="15" t="s">
        <v>246</v>
      </c>
      <c r="D234" s="15"/>
      <c r="E234" s="16">
        <f t="shared" si="22"/>
        <v>1393514.04</v>
      </c>
      <c r="F234" s="16">
        <f t="shared" si="22"/>
        <v>1388713.96</v>
      </c>
      <c r="G234" s="101">
        <f t="shared" si="23"/>
        <v>0.99655541324865293</v>
      </c>
      <c r="H234" s="1"/>
      <c r="I234" s="1"/>
    </row>
    <row r="235" spans="1:9" ht="22.5">
      <c r="A235" s="7" t="s">
        <v>26</v>
      </c>
      <c r="B235" s="8" t="s">
        <v>244</v>
      </c>
      <c r="C235" s="8" t="s">
        <v>246</v>
      </c>
      <c r="D235" s="8" t="s">
        <v>37</v>
      </c>
      <c r="E235" s="6">
        <f>1352000+41514.04</f>
        <v>1393514.04</v>
      </c>
      <c r="F235" s="6">
        <v>1388713.96</v>
      </c>
      <c r="G235" s="101">
        <f t="shared" si="23"/>
        <v>0.99655541324865293</v>
      </c>
      <c r="H235" s="1"/>
      <c r="I235" s="1"/>
    </row>
    <row r="236" spans="1:9" ht="12.75">
      <c r="A236" s="14" t="s">
        <v>247</v>
      </c>
      <c r="B236" s="15" t="s">
        <v>248</v>
      </c>
      <c r="C236" s="15"/>
      <c r="D236" s="15"/>
      <c r="E236" s="16">
        <f t="shared" ref="E236:F238" si="24">E237</f>
        <v>32423837.310000002</v>
      </c>
      <c r="F236" s="16">
        <f t="shared" si="24"/>
        <v>16823405.530000001</v>
      </c>
      <c r="G236" s="101">
        <f t="shared" si="23"/>
        <v>0.51885917663457459</v>
      </c>
      <c r="H236" s="1"/>
      <c r="I236" s="1"/>
    </row>
    <row r="237" spans="1:9" ht="31.5">
      <c r="A237" s="17" t="s">
        <v>98</v>
      </c>
      <c r="B237" s="13" t="s">
        <v>248</v>
      </c>
      <c r="C237" s="13" t="s">
        <v>99</v>
      </c>
      <c r="D237" s="13"/>
      <c r="E237" s="18">
        <f t="shared" si="24"/>
        <v>32423837.310000002</v>
      </c>
      <c r="F237" s="18">
        <f t="shared" si="24"/>
        <v>16823405.530000001</v>
      </c>
      <c r="G237" s="101">
        <f t="shared" si="23"/>
        <v>0.51885917663457459</v>
      </c>
      <c r="H237" s="1"/>
      <c r="I237" s="1"/>
    </row>
    <row r="238" spans="1:9" ht="22.5">
      <c r="A238" s="19" t="s">
        <v>100</v>
      </c>
      <c r="B238" s="20" t="s">
        <v>248</v>
      </c>
      <c r="C238" s="20" t="s">
        <v>101</v>
      </c>
      <c r="D238" s="20"/>
      <c r="E238" s="21">
        <f t="shared" si="24"/>
        <v>32423837.310000002</v>
      </c>
      <c r="F238" s="21">
        <f t="shared" si="24"/>
        <v>16823405.530000001</v>
      </c>
      <c r="G238" s="101">
        <f t="shared" si="23"/>
        <v>0.51885917663457459</v>
      </c>
      <c r="H238" s="1"/>
      <c r="I238" s="1"/>
    </row>
    <row r="239" spans="1:9" ht="22.5">
      <c r="A239" s="22" t="s">
        <v>102</v>
      </c>
      <c r="B239" s="23" t="s">
        <v>248</v>
      </c>
      <c r="C239" s="23" t="s">
        <v>103</v>
      </c>
      <c r="D239" s="23"/>
      <c r="E239" s="24">
        <f>E245+E251+E253+E255+E259+E242+E240+E249+E257+E247</f>
        <v>32423837.310000002</v>
      </c>
      <c r="F239" s="24">
        <f>F245+F251+F253+F255+F259+F242+F240+F249+F257+F247</f>
        <v>16823405.530000001</v>
      </c>
      <c r="G239" s="101">
        <f t="shared" si="23"/>
        <v>0.51885917663457459</v>
      </c>
      <c r="H239" s="1"/>
      <c r="I239" s="1"/>
    </row>
    <row r="240" spans="1:9" ht="22.5">
      <c r="A240" s="74" t="s">
        <v>487</v>
      </c>
      <c r="B240" s="75" t="s">
        <v>248</v>
      </c>
      <c r="C240" s="62" t="s">
        <v>488</v>
      </c>
      <c r="D240" s="62"/>
      <c r="E240" s="61">
        <f>E241</f>
        <v>35000</v>
      </c>
      <c r="F240" s="61">
        <f>F241</f>
        <v>35000</v>
      </c>
      <c r="G240" s="101">
        <f t="shared" si="23"/>
        <v>1</v>
      </c>
      <c r="H240" s="1"/>
      <c r="I240" s="1"/>
    </row>
    <row r="241" spans="1:9" ht="12.75">
      <c r="A241" s="76" t="s">
        <v>83</v>
      </c>
      <c r="B241" s="75" t="s">
        <v>248</v>
      </c>
      <c r="C241" s="62" t="s">
        <v>488</v>
      </c>
      <c r="D241" s="62">
        <v>500</v>
      </c>
      <c r="E241" s="61">
        <v>35000</v>
      </c>
      <c r="F241" s="61">
        <v>35000</v>
      </c>
      <c r="G241" s="101">
        <f t="shared" si="23"/>
        <v>1</v>
      </c>
      <c r="H241" s="1"/>
      <c r="I241" s="1"/>
    </row>
    <row r="242" spans="1:9" ht="33.75">
      <c r="A242" s="76" t="s">
        <v>486</v>
      </c>
      <c r="B242" s="77" t="s">
        <v>248</v>
      </c>
      <c r="C242" s="77" t="s">
        <v>259</v>
      </c>
      <c r="D242" s="78"/>
      <c r="E242" s="5">
        <f>E244+E243</f>
        <v>737089.26</v>
      </c>
      <c r="F242" s="5">
        <f>F244+F243</f>
        <v>307089.26</v>
      </c>
      <c r="G242" s="101">
        <f t="shared" si="23"/>
        <v>0.41662424982287766</v>
      </c>
      <c r="H242" s="1"/>
      <c r="I242" s="1"/>
    </row>
    <row r="243" spans="1:9" ht="22.5">
      <c r="A243" s="76" t="s">
        <v>26</v>
      </c>
      <c r="B243" s="77" t="s">
        <v>248</v>
      </c>
      <c r="C243" s="77" t="s">
        <v>259</v>
      </c>
      <c r="D243" s="78">
        <v>200</v>
      </c>
      <c r="E243" s="5">
        <f>463800-33800</f>
        <v>430000</v>
      </c>
      <c r="F243" s="5">
        <v>0</v>
      </c>
      <c r="G243" s="101">
        <f t="shared" si="23"/>
        <v>0</v>
      </c>
      <c r="H243" s="1"/>
      <c r="I243" s="1"/>
    </row>
    <row r="244" spans="1:9" ht="22.5">
      <c r="A244" s="76" t="s">
        <v>258</v>
      </c>
      <c r="B244" s="77" t="s">
        <v>248</v>
      </c>
      <c r="C244" s="77" t="s">
        <v>259</v>
      </c>
      <c r="D244" s="78">
        <v>400</v>
      </c>
      <c r="E244" s="5">
        <v>307089.26</v>
      </c>
      <c r="F244" s="5">
        <v>307089.26</v>
      </c>
      <c r="G244" s="101">
        <f t="shared" si="23"/>
        <v>1</v>
      </c>
      <c r="H244" s="1"/>
      <c r="I244" s="1"/>
    </row>
    <row r="245" spans="1:9" ht="22.15" customHeight="1">
      <c r="A245" s="14" t="s">
        <v>249</v>
      </c>
      <c r="B245" s="77" t="s">
        <v>248</v>
      </c>
      <c r="C245" s="9" t="s">
        <v>250</v>
      </c>
      <c r="D245" s="8"/>
      <c r="E245" s="6">
        <f>E246</f>
        <v>7000000</v>
      </c>
      <c r="F245" s="6">
        <f>F246</f>
        <v>0</v>
      </c>
      <c r="G245" s="101">
        <f t="shared" si="23"/>
        <v>0</v>
      </c>
      <c r="H245" s="1"/>
      <c r="I245" s="1"/>
    </row>
    <row r="246" spans="1:9" ht="22.15" customHeight="1">
      <c r="A246" s="7" t="s">
        <v>26</v>
      </c>
      <c r="B246" s="77" t="s">
        <v>248</v>
      </c>
      <c r="C246" s="9" t="s">
        <v>250</v>
      </c>
      <c r="D246" s="8">
        <v>200</v>
      </c>
      <c r="E246" s="6">
        <f>2100000+4900000</f>
        <v>7000000</v>
      </c>
      <c r="F246" s="6">
        <v>0</v>
      </c>
      <c r="G246" s="101">
        <f t="shared" si="23"/>
        <v>0</v>
      </c>
      <c r="H246" s="1"/>
      <c r="I246" s="1"/>
    </row>
    <row r="247" spans="1:9" ht="22.15" customHeight="1">
      <c r="A247" s="7" t="s">
        <v>511</v>
      </c>
      <c r="B247" s="77" t="s">
        <v>248</v>
      </c>
      <c r="C247" s="9" t="s">
        <v>512</v>
      </c>
      <c r="D247" s="8"/>
      <c r="E247" s="6">
        <f>E248</f>
        <v>50000</v>
      </c>
      <c r="F247" s="6">
        <f>F248</f>
        <v>50000</v>
      </c>
      <c r="G247" s="101">
        <f t="shared" si="23"/>
        <v>1</v>
      </c>
      <c r="H247" s="1"/>
      <c r="I247" s="1"/>
    </row>
    <row r="248" spans="1:9" ht="22.15" customHeight="1">
      <c r="A248" s="7" t="s">
        <v>26</v>
      </c>
      <c r="B248" s="77" t="s">
        <v>248</v>
      </c>
      <c r="C248" s="9" t="s">
        <v>512</v>
      </c>
      <c r="D248" s="8">
        <v>200</v>
      </c>
      <c r="E248" s="6">
        <v>50000</v>
      </c>
      <c r="F248" s="6">
        <v>50000</v>
      </c>
      <c r="G248" s="101">
        <f t="shared" si="23"/>
        <v>1</v>
      </c>
      <c r="H248" s="1"/>
      <c r="I248" s="1"/>
    </row>
    <row r="249" spans="1:9" ht="22.15" customHeight="1">
      <c r="A249" s="74" t="s">
        <v>489</v>
      </c>
      <c r="B249" s="75" t="s">
        <v>248</v>
      </c>
      <c r="C249" s="75" t="s">
        <v>490</v>
      </c>
      <c r="D249" s="62"/>
      <c r="E249" s="61">
        <f>E250</f>
        <v>27000</v>
      </c>
      <c r="F249" s="61">
        <f>F250</f>
        <v>27000</v>
      </c>
      <c r="G249" s="101">
        <f t="shared" si="23"/>
        <v>1</v>
      </c>
      <c r="H249" s="1"/>
      <c r="I249" s="1"/>
    </row>
    <row r="250" spans="1:9" ht="22.15" customHeight="1">
      <c r="A250" s="76" t="s">
        <v>83</v>
      </c>
      <c r="B250" s="75" t="s">
        <v>248</v>
      </c>
      <c r="C250" s="75" t="s">
        <v>490</v>
      </c>
      <c r="D250" s="62">
        <v>500</v>
      </c>
      <c r="E250" s="61">
        <v>27000</v>
      </c>
      <c r="F250" s="61">
        <v>27000</v>
      </c>
      <c r="G250" s="101">
        <f t="shared" si="23"/>
        <v>1</v>
      </c>
      <c r="H250" s="1"/>
      <c r="I250" s="1"/>
    </row>
    <row r="251" spans="1:9" ht="21.75" customHeight="1">
      <c r="A251" s="14" t="s">
        <v>251</v>
      </c>
      <c r="B251" s="41" t="s">
        <v>248</v>
      </c>
      <c r="C251" s="9" t="s">
        <v>252</v>
      </c>
      <c r="D251" s="9"/>
      <c r="E251" s="6">
        <f>E252</f>
        <v>9475000</v>
      </c>
      <c r="F251" s="6">
        <f>F252</f>
        <v>9475000</v>
      </c>
      <c r="G251" s="101">
        <f t="shared" si="23"/>
        <v>1</v>
      </c>
      <c r="H251" s="1"/>
      <c r="I251" s="1"/>
    </row>
    <row r="252" spans="1:9" ht="25.7" customHeight="1">
      <c r="A252" s="14" t="s">
        <v>38</v>
      </c>
      <c r="B252" s="41" t="s">
        <v>248</v>
      </c>
      <c r="C252" s="9" t="s">
        <v>252</v>
      </c>
      <c r="D252" s="9" t="s">
        <v>39</v>
      </c>
      <c r="E252" s="6">
        <f>3875000+600000+5000000</f>
        <v>9475000</v>
      </c>
      <c r="F252" s="6">
        <f>3875000+600000+5000000</f>
        <v>9475000</v>
      </c>
      <c r="G252" s="101">
        <f t="shared" si="23"/>
        <v>1</v>
      </c>
      <c r="H252" s="1"/>
      <c r="I252" s="1"/>
    </row>
    <row r="253" spans="1:9" ht="22.5">
      <c r="A253" s="14" t="s">
        <v>253</v>
      </c>
      <c r="B253" s="15" t="s">
        <v>248</v>
      </c>
      <c r="C253" s="15" t="s">
        <v>254</v>
      </c>
      <c r="D253" s="15"/>
      <c r="E253" s="16">
        <f>E254</f>
        <v>527169.05000000005</v>
      </c>
      <c r="F253" s="16">
        <f>F254</f>
        <v>526737.27</v>
      </c>
      <c r="G253" s="101">
        <f t="shared" si="23"/>
        <v>0.9991809458464983</v>
      </c>
      <c r="H253" s="1"/>
      <c r="I253" s="1"/>
    </row>
    <row r="254" spans="1:9" ht="22.5">
      <c r="A254" s="14" t="s">
        <v>26</v>
      </c>
      <c r="B254" s="15" t="s">
        <v>248</v>
      </c>
      <c r="C254" s="15" t="s">
        <v>254</v>
      </c>
      <c r="D254" s="15" t="s">
        <v>37</v>
      </c>
      <c r="E254" s="16">
        <f>461000+100000-89130.95+55300</f>
        <v>527169.05000000005</v>
      </c>
      <c r="F254" s="16">
        <v>526737.27</v>
      </c>
      <c r="G254" s="101">
        <f t="shared" si="23"/>
        <v>0.9991809458464983</v>
      </c>
      <c r="H254" s="1"/>
      <c r="I254" s="1"/>
    </row>
    <row r="255" spans="1:9" ht="33.75">
      <c r="A255" s="7" t="s">
        <v>255</v>
      </c>
      <c r="B255" s="9" t="s">
        <v>248</v>
      </c>
      <c r="C255" s="9" t="s">
        <v>256</v>
      </c>
      <c r="D255" s="9"/>
      <c r="E255" s="6">
        <f>E256</f>
        <v>230904</v>
      </c>
      <c r="F255" s="6">
        <f>F256</f>
        <v>230904</v>
      </c>
      <c r="G255" s="101">
        <f t="shared" si="23"/>
        <v>1</v>
      </c>
      <c r="H255" s="1"/>
      <c r="I255" s="1"/>
    </row>
    <row r="256" spans="1:9" ht="22.5">
      <c r="A256" s="7" t="s">
        <v>26</v>
      </c>
      <c r="B256" s="9" t="s">
        <v>248</v>
      </c>
      <c r="C256" s="9" t="s">
        <v>256</v>
      </c>
      <c r="D256" s="9" t="s">
        <v>37</v>
      </c>
      <c r="E256" s="6">
        <v>230904</v>
      </c>
      <c r="F256" s="6">
        <v>230904</v>
      </c>
      <c r="G256" s="101">
        <f t="shared" si="23"/>
        <v>1</v>
      </c>
      <c r="H256" s="1"/>
      <c r="I256" s="1"/>
    </row>
    <row r="257" spans="1:9" ht="12.75">
      <c r="A257" s="74" t="s">
        <v>491</v>
      </c>
      <c r="B257" s="75" t="s">
        <v>248</v>
      </c>
      <c r="C257" s="75" t="s">
        <v>492</v>
      </c>
      <c r="D257" s="62"/>
      <c r="E257" s="61">
        <f>E258</f>
        <v>338675</v>
      </c>
      <c r="F257" s="61">
        <f>F258</f>
        <v>338675</v>
      </c>
      <c r="G257" s="101">
        <f t="shared" si="23"/>
        <v>1</v>
      </c>
      <c r="H257" s="1"/>
      <c r="I257" s="1"/>
    </row>
    <row r="258" spans="1:9" ht="12.75">
      <c r="A258" s="76" t="s">
        <v>83</v>
      </c>
      <c r="B258" s="75" t="s">
        <v>248</v>
      </c>
      <c r="C258" s="75" t="s">
        <v>492</v>
      </c>
      <c r="D258" s="62">
        <v>500</v>
      </c>
      <c r="E258" s="61">
        <v>338675</v>
      </c>
      <c r="F258" s="61">
        <v>338675</v>
      </c>
      <c r="G258" s="101">
        <f t="shared" si="23"/>
        <v>1</v>
      </c>
      <c r="H258" s="1"/>
      <c r="I258" s="1"/>
    </row>
    <row r="259" spans="1:9" ht="22.5">
      <c r="A259" s="76" t="s">
        <v>485</v>
      </c>
      <c r="B259" s="77" t="s">
        <v>248</v>
      </c>
      <c r="C259" s="77" t="s">
        <v>257</v>
      </c>
      <c r="D259" s="78"/>
      <c r="E259" s="5">
        <f>E261+E260</f>
        <v>14003000</v>
      </c>
      <c r="F259" s="5">
        <f>F261+F260</f>
        <v>5833000</v>
      </c>
      <c r="G259" s="101">
        <f t="shared" si="23"/>
        <v>0.41655359565807326</v>
      </c>
      <c r="H259" s="1"/>
      <c r="I259" s="1"/>
    </row>
    <row r="260" spans="1:9" ht="22.5">
      <c r="A260" s="76" t="s">
        <v>26</v>
      </c>
      <c r="B260" s="77" t="s">
        <v>248</v>
      </c>
      <c r="C260" s="77" t="s">
        <v>257</v>
      </c>
      <c r="D260" s="78">
        <v>200</v>
      </c>
      <c r="E260" s="5">
        <f>8812200-642200</f>
        <v>8170000</v>
      </c>
      <c r="F260" s="5">
        <v>0</v>
      </c>
      <c r="G260" s="101">
        <f t="shared" si="23"/>
        <v>0</v>
      </c>
      <c r="H260" s="1"/>
      <c r="I260" s="1"/>
    </row>
    <row r="261" spans="1:9" ht="22.5">
      <c r="A261" s="76" t="s">
        <v>258</v>
      </c>
      <c r="B261" s="77" t="s">
        <v>248</v>
      </c>
      <c r="C261" s="77" t="s">
        <v>257</v>
      </c>
      <c r="D261" s="78">
        <v>400</v>
      </c>
      <c r="E261" s="5">
        <v>5833000</v>
      </c>
      <c r="F261" s="5">
        <v>5833000</v>
      </c>
      <c r="G261" s="101">
        <f t="shared" si="23"/>
        <v>1</v>
      </c>
      <c r="H261" s="1"/>
      <c r="I261" s="1"/>
    </row>
    <row r="262" spans="1:9" ht="12.75">
      <c r="A262" s="14" t="s">
        <v>260</v>
      </c>
      <c r="B262" s="15" t="s">
        <v>261</v>
      </c>
      <c r="C262" s="15"/>
      <c r="D262" s="15"/>
      <c r="E262" s="16">
        <f>E263+E270</f>
        <v>3126809.7600000002</v>
      </c>
      <c r="F262" s="16">
        <f>F263+F270</f>
        <v>2921809.7600000002</v>
      </c>
      <c r="G262" s="101">
        <f t="shared" si="23"/>
        <v>0.93443796849348459</v>
      </c>
      <c r="H262" s="1"/>
      <c r="I262" s="1"/>
    </row>
    <row r="263" spans="1:9" ht="31.5">
      <c r="A263" s="17" t="s">
        <v>98</v>
      </c>
      <c r="B263" s="13" t="s">
        <v>261</v>
      </c>
      <c r="C263" s="13" t="s">
        <v>99</v>
      </c>
      <c r="D263" s="13"/>
      <c r="E263" s="18">
        <f>E264</f>
        <v>492000</v>
      </c>
      <c r="F263" s="18">
        <f>F264</f>
        <v>287000</v>
      </c>
      <c r="G263" s="101">
        <f t="shared" si="23"/>
        <v>0.58333333333333337</v>
      </c>
      <c r="H263" s="1"/>
      <c r="I263" s="1"/>
    </row>
    <row r="264" spans="1:9" ht="22.5">
      <c r="A264" s="19" t="s">
        <v>100</v>
      </c>
      <c r="B264" s="20" t="s">
        <v>261</v>
      </c>
      <c r="C264" s="20" t="s">
        <v>101</v>
      </c>
      <c r="D264" s="20"/>
      <c r="E264" s="21">
        <f>E265</f>
        <v>492000</v>
      </c>
      <c r="F264" s="21">
        <f>F265</f>
        <v>287000</v>
      </c>
      <c r="G264" s="101">
        <f t="shared" si="23"/>
        <v>0.58333333333333337</v>
      </c>
      <c r="H264" s="1"/>
      <c r="I264" s="1"/>
    </row>
    <row r="265" spans="1:9" ht="22.5">
      <c r="A265" s="22" t="s">
        <v>102</v>
      </c>
      <c r="B265" s="23" t="s">
        <v>261</v>
      </c>
      <c r="C265" s="23" t="s">
        <v>103</v>
      </c>
      <c r="D265" s="23"/>
      <c r="E265" s="24">
        <f>E266+E268</f>
        <v>492000</v>
      </c>
      <c r="F265" s="24">
        <f>F266+F268</f>
        <v>287000</v>
      </c>
      <c r="G265" s="101">
        <f t="shared" si="23"/>
        <v>0.58333333333333337</v>
      </c>
      <c r="H265" s="1"/>
      <c r="I265" s="1"/>
    </row>
    <row r="266" spans="1:9" ht="45">
      <c r="A266" s="14" t="s">
        <v>262</v>
      </c>
      <c r="B266" s="15" t="s">
        <v>261</v>
      </c>
      <c r="C266" s="15" t="s">
        <v>263</v>
      </c>
      <c r="D266" s="15"/>
      <c r="E266" s="16">
        <f>E267</f>
        <v>200000</v>
      </c>
      <c r="F266" s="16">
        <f>F267</f>
        <v>0</v>
      </c>
      <c r="G266" s="101">
        <f t="shared" si="23"/>
        <v>0</v>
      </c>
      <c r="H266" s="1"/>
      <c r="I266" s="1"/>
    </row>
    <row r="267" spans="1:9" ht="12.75">
      <c r="A267" s="14" t="s">
        <v>83</v>
      </c>
      <c r="B267" s="15" t="s">
        <v>261</v>
      </c>
      <c r="C267" s="15" t="s">
        <v>263</v>
      </c>
      <c r="D267" s="15" t="s">
        <v>136</v>
      </c>
      <c r="E267" s="16">
        <v>200000</v>
      </c>
      <c r="F267" s="16">
        <v>0</v>
      </c>
      <c r="G267" s="101">
        <f t="shared" si="23"/>
        <v>0</v>
      </c>
      <c r="H267" s="1"/>
      <c r="I267" s="1"/>
    </row>
    <row r="268" spans="1:9" ht="32.25" customHeight="1">
      <c r="A268" s="7" t="s">
        <v>264</v>
      </c>
      <c r="B268" s="15" t="s">
        <v>261</v>
      </c>
      <c r="C268" s="9" t="s">
        <v>265</v>
      </c>
      <c r="D268" s="8"/>
      <c r="E268" s="6">
        <f>E269</f>
        <v>292000</v>
      </c>
      <c r="F268" s="6">
        <f>F269</f>
        <v>287000</v>
      </c>
      <c r="G268" s="101">
        <f t="shared" si="23"/>
        <v>0.98287671232876717</v>
      </c>
      <c r="H268" s="1"/>
      <c r="I268" s="1"/>
    </row>
    <row r="269" spans="1:9" ht="21.75" customHeight="1">
      <c r="A269" s="7" t="s">
        <v>26</v>
      </c>
      <c r="B269" s="15" t="s">
        <v>261</v>
      </c>
      <c r="C269" s="9" t="s">
        <v>265</v>
      </c>
      <c r="D269" s="8">
        <v>200</v>
      </c>
      <c r="E269" s="6">
        <v>292000</v>
      </c>
      <c r="F269" s="6">
        <v>287000</v>
      </c>
      <c r="G269" s="101">
        <f t="shared" si="23"/>
        <v>0.98287671232876717</v>
      </c>
      <c r="H269" s="1"/>
      <c r="I269" s="1"/>
    </row>
    <row r="270" spans="1:9" ht="21">
      <c r="A270" s="17" t="s">
        <v>266</v>
      </c>
      <c r="B270" s="32" t="s">
        <v>261</v>
      </c>
      <c r="C270" s="42" t="s">
        <v>267</v>
      </c>
      <c r="D270" s="33"/>
      <c r="E270" s="34">
        <f t="shared" ref="E270:F273" si="25">E271</f>
        <v>2634809.7600000002</v>
      </c>
      <c r="F270" s="34">
        <f t="shared" si="25"/>
        <v>2634809.7600000002</v>
      </c>
      <c r="G270" s="101">
        <f t="shared" si="23"/>
        <v>1</v>
      </c>
      <c r="H270" s="1"/>
      <c r="I270" s="1"/>
    </row>
    <row r="271" spans="1:9" ht="33.75">
      <c r="A271" s="19" t="s">
        <v>268</v>
      </c>
      <c r="B271" s="26" t="s">
        <v>261</v>
      </c>
      <c r="C271" s="40" t="s">
        <v>269</v>
      </c>
      <c r="D271" s="38"/>
      <c r="E271" s="29">
        <f t="shared" si="25"/>
        <v>2634809.7600000002</v>
      </c>
      <c r="F271" s="29">
        <f t="shared" si="25"/>
        <v>2634809.7600000002</v>
      </c>
      <c r="G271" s="101">
        <f t="shared" si="23"/>
        <v>1</v>
      </c>
      <c r="H271" s="1"/>
      <c r="I271" s="1"/>
    </row>
    <row r="272" spans="1:9" ht="22.5">
      <c r="A272" s="22" t="s">
        <v>270</v>
      </c>
      <c r="B272" s="28" t="s">
        <v>261</v>
      </c>
      <c r="C272" s="28" t="s">
        <v>271</v>
      </c>
      <c r="D272" s="38"/>
      <c r="E272" s="29">
        <f t="shared" si="25"/>
        <v>2634809.7600000002</v>
      </c>
      <c r="F272" s="29">
        <f t="shared" si="25"/>
        <v>2634809.7600000002</v>
      </c>
      <c r="G272" s="101">
        <f t="shared" si="23"/>
        <v>1</v>
      </c>
      <c r="H272" s="1"/>
      <c r="I272" s="1"/>
    </row>
    <row r="273" spans="1:9" ht="33.75">
      <c r="A273" s="14" t="s">
        <v>272</v>
      </c>
      <c r="B273" s="25" t="s">
        <v>261</v>
      </c>
      <c r="C273" s="25" t="s">
        <v>273</v>
      </c>
      <c r="D273" s="8"/>
      <c r="E273" s="6">
        <f t="shared" si="25"/>
        <v>2634809.7600000002</v>
      </c>
      <c r="F273" s="6">
        <f t="shared" si="25"/>
        <v>2634809.7600000002</v>
      </c>
      <c r="G273" s="101">
        <f t="shared" si="23"/>
        <v>1</v>
      </c>
      <c r="H273" s="1"/>
      <c r="I273" s="1"/>
    </row>
    <row r="274" spans="1:9" ht="22.5">
      <c r="A274" s="7" t="s">
        <v>26</v>
      </c>
      <c r="B274" s="25" t="s">
        <v>261</v>
      </c>
      <c r="C274" s="25" t="s">
        <v>273</v>
      </c>
      <c r="D274" s="38">
        <v>200</v>
      </c>
      <c r="E274" s="6">
        <f>3030000+3033.03-516000-516.51-144.15+118437.39</f>
        <v>2634809.7600000002</v>
      </c>
      <c r="F274" s="6">
        <f>3030000+3033.03-516000-516.51-144.15+118437.39</f>
        <v>2634809.7600000002</v>
      </c>
      <c r="G274" s="101">
        <f t="shared" si="23"/>
        <v>1</v>
      </c>
      <c r="H274" s="1"/>
      <c r="I274" s="1"/>
    </row>
    <row r="275" spans="1:9" ht="12.75">
      <c r="A275" s="14" t="s">
        <v>274</v>
      </c>
      <c r="B275" s="15" t="s">
        <v>275</v>
      </c>
      <c r="C275" s="15"/>
      <c r="D275" s="15"/>
      <c r="E275" s="16">
        <f>E276+E301+E342+E370+E381</f>
        <v>187051635.62999997</v>
      </c>
      <c r="F275" s="16">
        <f>F276+F301+F342+F370+F381</f>
        <v>182887974.49000001</v>
      </c>
      <c r="G275" s="101">
        <f t="shared" si="23"/>
        <v>0.97774057881944454</v>
      </c>
      <c r="H275" s="1"/>
      <c r="I275" s="1"/>
    </row>
    <row r="276" spans="1:9" ht="12.75">
      <c r="A276" s="14" t="s">
        <v>276</v>
      </c>
      <c r="B276" s="15" t="s">
        <v>277</v>
      </c>
      <c r="C276" s="15"/>
      <c r="D276" s="15"/>
      <c r="E276" s="16">
        <f>E277+E296</f>
        <v>45857038.07</v>
      </c>
      <c r="F276" s="16">
        <f>F277+F296</f>
        <v>45753419.299999997</v>
      </c>
      <c r="G276" s="101">
        <f t="shared" si="23"/>
        <v>0.99774039549083327</v>
      </c>
      <c r="H276" s="1"/>
      <c r="I276" s="1"/>
    </row>
    <row r="277" spans="1:9" ht="31.5">
      <c r="A277" s="17" t="s">
        <v>67</v>
      </c>
      <c r="B277" s="13" t="s">
        <v>277</v>
      </c>
      <c r="C277" s="13" t="s">
        <v>68</v>
      </c>
      <c r="D277" s="13"/>
      <c r="E277" s="18">
        <f>E278</f>
        <v>45584538.07</v>
      </c>
      <c r="F277" s="18">
        <f>F278</f>
        <v>45480919.299999997</v>
      </c>
      <c r="G277" s="101">
        <f t="shared" si="23"/>
        <v>0.9977268877916261</v>
      </c>
      <c r="H277" s="1"/>
      <c r="I277" s="1"/>
    </row>
    <row r="278" spans="1:9" ht="22.5">
      <c r="A278" s="19" t="s">
        <v>278</v>
      </c>
      <c r="B278" s="20" t="s">
        <v>277</v>
      </c>
      <c r="C278" s="20" t="s">
        <v>279</v>
      </c>
      <c r="D278" s="20"/>
      <c r="E278" s="21">
        <f>E279</f>
        <v>45584538.07</v>
      </c>
      <c r="F278" s="21">
        <f>F279</f>
        <v>45480919.299999997</v>
      </c>
      <c r="G278" s="101">
        <f t="shared" si="23"/>
        <v>0.9977268877916261</v>
      </c>
      <c r="H278" s="1"/>
      <c r="I278" s="1"/>
    </row>
    <row r="279" spans="1:9" ht="12.75">
      <c r="A279" s="22" t="s">
        <v>280</v>
      </c>
      <c r="B279" s="23" t="s">
        <v>277</v>
      </c>
      <c r="C279" s="23" t="s">
        <v>281</v>
      </c>
      <c r="D279" s="23"/>
      <c r="E279" s="24">
        <f>E280+E284+E288+E292+E294+E282+E286+E290</f>
        <v>45584538.07</v>
      </c>
      <c r="F279" s="24">
        <f>F280+F284+F288+F292+F294+F282+F286+F290</f>
        <v>45480919.299999997</v>
      </c>
      <c r="G279" s="101">
        <f t="shared" si="23"/>
        <v>0.9977268877916261</v>
      </c>
      <c r="H279" s="1"/>
      <c r="I279" s="1"/>
    </row>
    <row r="280" spans="1:9" ht="56.25">
      <c r="A280" s="63" t="s">
        <v>282</v>
      </c>
      <c r="B280" s="15" t="s">
        <v>277</v>
      </c>
      <c r="C280" s="8" t="s">
        <v>283</v>
      </c>
      <c r="D280" s="15"/>
      <c r="E280" s="16">
        <f>E281</f>
        <v>4908.07</v>
      </c>
      <c r="F280" s="16">
        <f>F281</f>
        <v>4329.3</v>
      </c>
      <c r="G280" s="101">
        <f t="shared" si="23"/>
        <v>0.88207788397476006</v>
      </c>
      <c r="H280" s="1"/>
      <c r="I280" s="1"/>
    </row>
    <row r="281" spans="1:9" ht="22.5">
      <c r="A281" s="64" t="s">
        <v>178</v>
      </c>
      <c r="B281" s="65" t="s">
        <v>277</v>
      </c>
      <c r="C281" s="8" t="s">
        <v>283</v>
      </c>
      <c r="D281" s="8">
        <v>600</v>
      </c>
      <c r="E281" s="6">
        <f>2929.29+2019.19+515.15-555.56</f>
        <v>4908.07</v>
      </c>
      <c r="F281" s="6">
        <v>4329.3</v>
      </c>
      <c r="G281" s="101">
        <f t="shared" ref="G281:G342" si="26">F281/E281</f>
        <v>0.88207788397476006</v>
      </c>
      <c r="H281" s="1"/>
      <c r="I281" s="1"/>
    </row>
    <row r="282" spans="1:9" ht="22.5">
      <c r="A282" s="76" t="s">
        <v>449</v>
      </c>
      <c r="B282" s="25" t="s">
        <v>277</v>
      </c>
      <c r="C282" s="75" t="s">
        <v>450</v>
      </c>
      <c r="D282" s="15"/>
      <c r="E282" s="6">
        <f>E283</f>
        <v>31490</v>
      </c>
      <c r="F282" s="6">
        <f>F283</f>
        <v>31490</v>
      </c>
      <c r="G282" s="101">
        <f t="shared" si="26"/>
        <v>1</v>
      </c>
      <c r="H282" s="1"/>
      <c r="I282" s="1"/>
    </row>
    <row r="283" spans="1:9" ht="22.5">
      <c r="A283" s="7" t="s">
        <v>178</v>
      </c>
      <c r="B283" s="9" t="s">
        <v>277</v>
      </c>
      <c r="C283" s="75" t="s">
        <v>450</v>
      </c>
      <c r="D283" s="8">
        <v>600</v>
      </c>
      <c r="E283" s="6">
        <v>31490</v>
      </c>
      <c r="F283" s="6">
        <v>31490</v>
      </c>
      <c r="G283" s="101">
        <f t="shared" si="26"/>
        <v>1</v>
      </c>
      <c r="H283" s="1"/>
      <c r="I283" s="1"/>
    </row>
    <row r="284" spans="1:9" ht="45">
      <c r="A284" s="79" t="s">
        <v>284</v>
      </c>
      <c r="B284" s="15" t="s">
        <v>277</v>
      </c>
      <c r="C284" s="15" t="s">
        <v>285</v>
      </c>
      <c r="D284" s="15"/>
      <c r="E284" s="16">
        <f>E285</f>
        <v>17943500</v>
      </c>
      <c r="F284" s="16">
        <f>F285</f>
        <v>17943500</v>
      </c>
      <c r="G284" s="101">
        <f t="shared" si="26"/>
        <v>1</v>
      </c>
      <c r="H284" s="1"/>
      <c r="I284" s="1"/>
    </row>
    <row r="285" spans="1:9" ht="22.5">
      <c r="A285" s="64" t="s">
        <v>178</v>
      </c>
      <c r="B285" s="67" t="s">
        <v>277</v>
      </c>
      <c r="C285" s="8" t="s">
        <v>285</v>
      </c>
      <c r="D285" s="8" t="s">
        <v>179</v>
      </c>
      <c r="E285" s="6">
        <f>15665500+500000+1778000</f>
        <v>17943500</v>
      </c>
      <c r="F285" s="6">
        <f>15665500+500000+1778000</f>
        <v>17943500</v>
      </c>
      <c r="G285" s="101">
        <f t="shared" si="26"/>
        <v>1</v>
      </c>
      <c r="H285" s="1"/>
      <c r="I285" s="1"/>
    </row>
    <row r="286" spans="1:9" ht="22.5">
      <c r="A286" s="7" t="s">
        <v>451</v>
      </c>
      <c r="B286" s="25" t="s">
        <v>277</v>
      </c>
      <c r="C286" s="75" t="s">
        <v>452</v>
      </c>
      <c r="D286" s="15"/>
      <c r="E286" s="6">
        <f>E287</f>
        <v>10000</v>
      </c>
      <c r="F286" s="6">
        <f>F287</f>
        <v>10000</v>
      </c>
      <c r="G286" s="101">
        <f t="shared" si="26"/>
        <v>1</v>
      </c>
      <c r="H286" s="1"/>
      <c r="I286" s="1"/>
    </row>
    <row r="287" spans="1:9" ht="22.5">
      <c r="A287" s="7" t="s">
        <v>178</v>
      </c>
      <c r="B287" s="9" t="s">
        <v>277</v>
      </c>
      <c r="C287" s="75" t="s">
        <v>452</v>
      </c>
      <c r="D287" s="8">
        <v>600</v>
      </c>
      <c r="E287" s="6">
        <v>10000</v>
      </c>
      <c r="F287" s="6">
        <v>10000</v>
      </c>
      <c r="G287" s="101">
        <f t="shared" si="26"/>
        <v>1</v>
      </c>
      <c r="H287" s="1"/>
      <c r="I287" s="1"/>
    </row>
    <row r="288" spans="1:9" ht="43.35" customHeight="1">
      <c r="A288" s="79" t="s">
        <v>286</v>
      </c>
      <c r="B288" s="15" t="s">
        <v>277</v>
      </c>
      <c r="C288" s="15" t="s">
        <v>287</v>
      </c>
      <c r="D288" s="15"/>
      <c r="E288" s="16">
        <f>E289</f>
        <v>485900</v>
      </c>
      <c r="F288" s="16">
        <f>F289</f>
        <v>428600</v>
      </c>
      <c r="G288" s="101">
        <f t="shared" si="26"/>
        <v>0.8820745009261165</v>
      </c>
      <c r="H288" s="1"/>
      <c r="I288" s="1"/>
    </row>
    <row r="289" spans="1:9" ht="22.5">
      <c r="A289" s="64" t="s">
        <v>178</v>
      </c>
      <c r="B289" s="65" t="s">
        <v>277</v>
      </c>
      <c r="C289" s="15" t="s">
        <v>287</v>
      </c>
      <c r="D289" s="15" t="s">
        <v>179</v>
      </c>
      <c r="E289" s="6">
        <f>290000+199900+51000-55000</f>
        <v>485900</v>
      </c>
      <c r="F289" s="6">
        <v>428600</v>
      </c>
      <c r="G289" s="101">
        <f t="shared" si="26"/>
        <v>0.8820745009261165</v>
      </c>
      <c r="H289" s="1"/>
      <c r="I289" s="1"/>
    </row>
    <row r="290" spans="1:9" ht="12.75">
      <c r="A290" s="7" t="s">
        <v>453</v>
      </c>
      <c r="B290" s="25" t="s">
        <v>277</v>
      </c>
      <c r="C290" s="75" t="s">
        <v>454</v>
      </c>
      <c r="D290" s="15"/>
      <c r="E290" s="6">
        <f>E291</f>
        <v>490000</v>
      </c>
      <c r="F290" s="6">
        <f>F291</f>
        <v>490000</v>
      </c>
      <c r="G290" s="101">
        <f t="shared" si="26"/>
        <v>1</v>
      </c>
      <c r="H290" s="1"/>
      <c r="I290" s="1"/>
    </row>
    <row r="291" spans="1:9" ht="22.5">
      <c r="A291" s="7" t="s">
        <v>178</v>
      </c>
      <c r="B291" s="9" t="s">
        <v>277</v>
      </c>
      <c r="C291" s="75" t="s">
        <v>454</v>
      </c>
      <c r="D291" s="8">
        <v>600</v>
      </c>
      <c r="E291" s="6">
        <v>490000</v>
      </c>
      <c r="F291" s="6">
        <v>490000</v>
      </c>
      <c r="G291" s="101">
        <f t="shared" si="26"/>
        <v>1</v>
      </c>
      <c r="H291" s="1"/>
      <c r="I291" s="1"/>
    </row>
    <row r="292" spans="1:9" ht="56.25">
      <c r="A292" s="79" t="s">
        <v>288</v>
      </c>
      <c r="B292" s="15" t="s">
        <v>277</v>
      </c>
      <c r="C292" s="15" t="s">
        <v>289</v>
      </c>
      <c r="D292" s="15"/>
      <c r="E292" s="16">
        <f>E293</f>
        <v>26573000</v>
      </c>
      <c r="F292" s="16">
        <f>F293</f>
        <v>26573000</v>
      </c>
      <c r="G292" s="101">
        <f t="shared" si="26"/>
        <v>1</v>
      </c>
      <c r="H292" s="1"/>
      <c r="I292" s="1"/>
    </row>
    <row r="293" spans="1:9" ht="22.5">
      <c r="A293" s="64" t="s">
        <v>178</v>
      </c>
      <c r="B293" s="67" t="s">
        <v>277</v>
      </c>
      <c r="C293" s="8" t="s">
        <v>289</v>
      </c>
      <c r="D293" s="8" t="s">
        <v>179</v>
      </c>
      <c r="E293" s="6">
        <f>27035000+1239000-851000-850000</f>
        <v>26573000</v>
      </c>
      <c r="F293" s="6">
        <f>27035000+1239000-851000-850000</f>
        <v>26573000</v>
      </c>
      <c r="G293" s="101">
        <f t="shared" si="26"/>
        <v>1</v>
      </c>
      <c r="H293" s="1"/>
      <c r="I293" s="1"/>
    </row>
    <row r="294" spans="1:9" ht="22.5">
      <c r="A294" s="79" t="s">
        <v>290</v>
      </c>
      <c r="B294" s="15" t="s">
        <v>277</v>
      </c>
      <c r="C294" s="15" t="s">
        <v>291</v>
      </c>
      <c r="D294" s="15"/>
      <c r="E294" s="16">
        <f>E295</f>
        <v>45740</v>
      </c>
      <c r="F294" s="16">
        <f>F295</f>
        <v>0</v>
      </c>
      <c r="G294" s="101">
        <f t="shared" si="26"/>
        <v>0</v>
      </c>
      <c r="H294" s="1"/>
      <c r="I294" s="1"/>
    </row>
    <row r="295" spans="1:9" ht="22.5">
      <c r="A295" s="66" t="s">
        <v>182</v>
      </c>
      <c r="B295" s="65" t="s">
        <v>277</v>
      </c>
      <c r="C295" s="15" t="s">
        <v>291</v>
      </c>
      <c r="D295" s="15" t="s">
        <v>179</v>
      </c>
      <c r="E295" s="16">
        <f>247000-199900-1360</f>
        <v>45740</v>
      </c>
      <c r="F295" s="16">
        <v>0</v>
      </c>
      <c r="G295" s="101">
        <f t="shared" si="26"/>
        <v>0</v>
      </c>
      <c r="H295" s="1"/>
      <c r="I295" s="1"/>
    </row>
    <row r="296" spans="1:9" ht="21">
      <c r="A296" s="80" t="s">
        <v>29</v>
      </c>
      <c r="B296" s="13" t="s">
        <v>277</v>
      </c>
      <c r="C296" s="13" t="s">
        <v>30</v>
      </c>
      <c r="D296" s="13"/>
      <c r="E296" s="18">
        <f t="shared" ref="E296:F299" si="27">E297</f>
        <v>272500</v>
      </c>
      <c r="F296" s="18">
        <f t="shared" si="27"/>
        <v>272500</v>
      </c>
      <c r="G296" s="101">
        <f t="shared" si="26"/>
        <v>1</v>
      </c>
      <c r="H296" s="1"/>
      <c r="I296" s="1"/>
    </row>
    <row r="297" spans="1:9" ht="22.5">
      <c r="A297" s="19" t="s">
        <v>31</v>
      </c>
      <c r="B297" s="20" t="s">
        <v>277</v>
      </c>
      <c r="C297" s="20" t="s">
        <v>32</v>
      </c>
      <c r="D297" s="20"/>
      <c r="E297" s="21">
        <f t="shared" si="27"/>
        <v>272500</v>
      </c>
      <c r="F297" s="21">
        <f t="shared" si="27"/>
        <v>272500</v>
      </c>
      <c r="G297" s="101">
        <f t="shared" si="26"/>
        <v>1</v>
      </c>
      <c r="H297" s="1"/>
      <c r="I297" s="1"/>
    </row>
    <row r="298" spans="1:9" ht="22.5">
      <c r="A298" s="22" t="s">
        <v>33</v>
      </c>
      <c r="B298" s="23" t="s">
        <v>277</v>
      </c>
      <c r="C298" s="23" t="s">
        <v>34</v>
      </c>
      <c r="D298" s="23"/>
      <c r="E298" s="24">
        <f t="shared" si="27"/>
        <v>272500</v>
      </c>
      <c r="F298" s="24">
        <f t="shared" si="27"/>
        <v>272500</v>
      </c>
      <c r="G298" s="101">
        <f t="shared" si="26"/>
        <v>1</v>
      </c>
      <c r="H298" s="1"/>
      <c r="I298" s="1"/>
    </row>
    <row r="299" spans="1:9" ht="22.5">
      <c r="A299" s="63" t="s">
        <v>292</v>
      </c>
      <c r="B299" s="15" t="s">
        <v>277</v>
      </c>
      <c r="C299" s="15" t="s">
        <v>36</v>
      </c>
      <c r="D299" s="15"/>
      <c r="E299" s="16">
        <f t="shared" si="27"/>
        <v>272500</v>
      </c>
      <c r="F299" s="16">
        <f t="shared" si="27"/>
        <v>272500</v>
      </c>
      <c r="G299" s="101">
        <f t="shared" si="26"/>
        <v>1</v>
      </c>
      <c r="H299" s="1"/>
      <c r="I299" s="1"/>
    </row>
    <row r="300" spans="1:9" ht="22.5">
      <c r="A300" s="64" t="s">
        <v>178</v>
      </c>
      <c r="B300" s="65" t="s">
        <v>277</v>
      </c>
      <c r="C300" s="15" t="s">
        <v>36</v>
      </c>
      <c r="D300" s="15" t="s">
        <v>179</v>
      </c>
      <c r="E300" s="6">
        <v>272500</v>
      </c>
      <c r="F300" s="6">
        <v>272500</v>
      </c>
      <c r="G300" s="101">
        <f t="shared" si="26"/>
        <v>1</v>
      </c>
      <c r="H300" s="1"/>
      <c r="I300" s="1"/>
    </row>
    <row r="301" spans="1:9" ht="12.75">
      <c r="A301" s="68" t="s">
        <v>293</v>
      </c>
      <c r="B301" s="15" t="s">
        <v>294</v>
      </c>
      <c r="C301" s="15"/>
      <c r="D301" s="15"/>
      <c r="E301" s="16">
        <f>E302+E337</f>
        <v>113087296.56</v>
      </c>
      <c r="F301" s="16">
        <f>F302+F337</f>
        <v>111348189.07000001</v>
      </c>
      <c r="G301" s="101">
        <f t="shared" si="26"/>
        <v>0.98462154863630247</v>
      </c>
      <c r="H301" s="1"/>
      <c r="I301" s="1"/>
    </row>
    <row r="302" spans="1:9" ht="31.5">
      <c r="A302" s="17" t="s">
        <v>67</v>
      </c>
      <c r="B302" s="13" t="s">
        <v>294</v>
      </c>
      <c r="C302" s="13" t="s">
        <v>68</v>
      </c>
      <c r="D302" s="13"/>
      <c r="E302" s="18">
        <f>E303</f>
        <v>112354796.56</v>
      </c>
      <c r="F302" s="18">
        <f>F303</f>
        <v>110615689.07000001</v>
      </c>
      <c r="G302" s="101">
        <f t="shared" si="26"/>
        <v>0.98452128842517839</v>
      </c>
      <c r="H302" s="1"/>
      <c r="I302" s="1"/>
    </row>
    <row r="303" spans="1:9" ht="22.5">
      <c r="A303" s="19" t="s">
        <v>278</v>
      </c>
      <c r="B303" s="20" t="s">
        <v>294</v>
      </c>
      <c r="C303" s="20" t="s">
        <v>279</v>
      </c>
      <c r="D303" s="20"/>
      <c r="E303" s="21">
        <f>E304</f>
        <v>112354796.56</v>
      </c>
      <c r="F303" s="21">
        <f>F304</f>
        <v>110615689.07000001</v>
      </c>
      <c r="G303" s="101">
        <f t="shared" si="26"/>
        <v>0.98452128842517839</v>
      </c>
      <c r="H303" s="1"/>
      <c r="I303" s="1"/>
    </row>
    <row r="304" spans="1:9" ht="12.75">
      <c r="A304" s="22" t="s">
        <v>295</v>
      </c>
      <c r="B304" s="23" t="s">
        <v>294</v>
      </c>
      <c r="C304" s="23" t="s">
        <v>296</v>
      </c>
      <c r="D304" s="23"/>
      <c r="E304" s="24">
        <f>E305+E309+E311+E315+E319+E323+E327+E329+E331+E333+E313+E321+E325+E317+E307+E335</f>
        <v>112354796.56</v>
      </c>
      <c r="F304" s="24">
        <f>F305+F309+F311+F315+F319+F323+F327+F329+F331+F333+F313+F321+F325+F317+F307+F335</f>
        <v>110615689.07000001</v>
      </c>
      <c r="G304" s="101">
        <f t="shared" si="26"/>
        <v>0.98452128842517839</v>
      </c>
      <c r="H304" s="1"/>
      <c r="I304" s="1"/>
    </row>
    <row r="305" spans="1:9" ht="33.75">
      <c r="A305" s="7" t="s">
        <v>297</v>
      </c>
      <c r="B305" s="9" t="s">
        <v>294</v>
      </c>
      <c r="C305" s="9" t="s">
        <v>298</v>
      </c>
      <c r="D305" s="8"/>
      <c r="E305" s="6">
        <f>E306</f>
        <v>719000</v>
      </c>
      <c r="F305" s="6">
        <f>F306</f>
        <v>719000</v>
      </c>
      <c r="G305" s="101">
        <f t="shared" si="26"/>
        <v>1</v>
      </c>
      <c r="H305" s="1"/>
      <c r="I305" s="1"/>
    </row>
    <row r="306" spans="1:9" ht="22.5">
      <c r="A306" s="7" t="s">
        <v>178</v>
      </c>
      <c r="B306" s="9" t="s">
        <v>294</v>
      </c>
      <c r="C306" s="9" t="s">
        <v>298</v>
      </c>
      <c r="D306" s="8">
        <v>600</v>
      </c>
      <c r="E306" s="6">
        <v>719000</v>
      </c>
      <c r="F306" s="6">
        <v>719000</v>
      </c>
      <c r="G306" s="101">
        <f t="shared" si="26"/>
        <v>1</v>
      </c>
      <c r="H306" s="1"/>
      <c r="I306" s="1"/>
    </row>
    <row r="307" spans="1:9" ht="67.5">
      <c r="A307" s="7" t="s">
        <v>497</v>
      </c>
      <c r="B307" s="9" t="s">
        <v>294</v>
      </c>
      <c r="C307" s="9" t="s">
        <v>498</v>
      </c>
      <c r="D307" s="8"/>
      <c r="E307" s="6">
        <f>E308</f>
        <v>9479000</v>
      </c>
      <c r="F307" s="6">
        <f>F308</f>
        <v>8392182.0199999996</v>
      </c>
      <c r="G307" s="101">
        <f t="shared" si="26"/>
        <v>0.88534465871927415</v>
      </c>
      <c r="H307" s="1"/>
      <c r="I307" s="1"/>
    </row>
    <row r="308" spans="1:9" s="10" customFormat="1" ht="22.5">
      <c r="A308" s="7" t="s">
        <v>178</v>
      </c>
      <c r="B308" s="9" t="s">
        <v>294</v>
      </c>
      <c r="C308" s="9" t="s">
        <v>498</v>
      </c>
      <c r="D308" s="8">
        <v>600</v>
      </c>
      <c r="E308" s="6">
        <f>4922000+911400+3645600</f>
        <v>9479000</v>
      </c>
      <c r="F308" s="6">
        <v>8392182.0199999996</v>
      </c>
      <c r="G308" s="101">
        <f t="shared" si="26"/>
        <v>0.88534465871927415</v>
      </c>
      <c r="H308" s="102"/>
      <c r="I308" s="102"/>
    </row>
    <row r="309" spans="1:9" ht="33.75">
      <c r="A309" s="72" t="s">
        <v>299</v>
      </c>
      <c r="B309" s="9" t="s">
        <v>294</v>
      </c>
      <c r="C309" s="9" t="s">
        <v>300</v>
      </c>
      <c r="D309" s="8"/>
      <c r="E309" s="6">
        <f>E310</f>
        <v>5165656.5599999996</v>
      </c>
      <c r="F309" s="6">
        <f>F310</f>
        <v>4843079.96</v>
      </c>
      <c r="G309" s="101">
        <f t="shared" si="26"/>
        <v>0.937553610803735</v>
      </c>
      <c r="H309" s="1"/>
      <c r="I309" s="1"/>
    </row>
    <row r="310" spans="1:9" ht="22.5">
      <c r="A310" s="66" t="s">
        <v>182</v>
      </c>
      <c r="B310" s="81" t="s">
        <v>294</v>
      </c>
      <c r="C310" s="9" t="s">
        <v>300</v>
      </c>
      <c r="D310" s="8">
        <v>600</v>
      </c>
      <c r="E310" s="6">
        <f>5358000+54121.21+326000+3292.93-570000-5757.58</f>
        <v>5165656.5599999996</v>
      </c>
      <c r="F310" s="6">
        <v>4843079.96</v>
      </c>
      <c r="G310" s="101">
        <f t="shared" si="26"/>
        <v>0.937553610803735</v>
      </c>
      <c r="H310" s="1"/>
      <c r="I310" s="1"/>
    </row>
    <row r="311" spans="1:9" ht="22.5">
      <c r="A311" s="63" t="s">
        <v>301</v>
      </c>
      <c r="B311" s="15" t="s">
        <v>294</v>
      </c>
      <c r="C311" s="15" t="s">
        <v>302</v>
      </c>
      <c r="D311" s="15"/>
      <c r="E311" s="16">
        <f>E312</f>
        <v>191391</v>
      </c>
      <c r="F311" s="16">
        <f>F312</f>
        <v>185530</v>
      </c>
      <c r="G311" s="101">
        <f t="shared" si="26"/>
        <v>0.96937682545156256</v>
      </c>
      <c r="H311" s="1"/>
      <c r="I311" s="1"/>
    </row>
    <row r="312" spans="1:9" ht="22.5">
      <c r="A312" s="64" t="s">
        <v>178</v>
      </c>
      <c r="B312" s="65" t="s">
        <v>294</v>
      </c>
      <c r="C312" s="15" t="s">
        <v>302</v>
      </c>
      <c r="D312" s="15" t="s">
        <v>179</v>
      </c>
      <c r="E312" s="16">
        <f>213616+36900+5840+3240-63375-5600+770</f>
        <v>191391</v>
      </c>
      <c r="F312" s="16">
        <v>185530</v>
      </c>
      <c r="G312" s="101">
        <f t="shared" si="26"/>
        <v>0.96937682545156256</v>
      </c>
      <c r="H312" s="1"/>
      <c r="I312" s="1"/>
    </row>
    <row r="313" spans="1:9" ht="22.5">
      <c r="A313" s="76" t="s">
        <v>459</v>
      </c>
      <c r="B313" s="77" t="s">
        <v>294</v>
      </c>
      <c r="C313" s="77" t="s">
        <v>460</v>
      </c>
      <c r="D313" s="78"/>
      <c r="E313" s="61">
        <f>E314</f>
        <v>294043</v>
      </c>
      <c r="F313" s="61">
        <f>F314</f>
        <v>294043</v>
      </c>
      <c r="G313" s="101">
        <f t="shared" si="26"/>
        <v>1</v>
      </c>
      <c r="H313" s="1"/>
      <c r="I313" s="1"/>
    </row>
    <row r="314" spans="1:9" ht="22.5">
      <c r="A314" s="76" t="s">
        <v>178</v>
      </c>
      <c r="B314" s="77" t="s">
        <v>294</v>
      </c>
      <c r="C314" s="77" t="s">
        <v>460</v>
      </c>
      <c r="D314" s="78">
        <v>600</v>
      </c>
      <c r="E314" s="61">
        <v>294043</v>
      </c>
      <c r="F314" s="61">
        <v>294043</v>
      </c>
      <c r="G314" s="101">
        <f t="shared" si="26"/>
        <v>1</v>
      </c>
      <c r="H314" s="1"/>
      <c r="I314" s="1"/>
    </row>
    <row r="315" spans="1:9" ht="45">
      <c r="A315" s="79" t="s">
        <v>303</v>
      </c>
      <c r="B315" s="15" t="s">
        <v>294</v>
      </c>
      <c r="C315" s="15" t="s">
        <v>304</v>
      </c>
      <c r="D315" s="15"/>
      <c r="E315" s="16">
        <f>E316</f>
        <v>26308500</v>
      </c>
      <c r="F315" s="16">
        <f>F316</f>
        <v>26308500</v>
      </c>
      <c r="G315" s="101">
        <f t="shared" si="26"/>
        <v>1</v>
      </c>
      <c r="H315" s="1"/>
      <c r="I315" s="1"/>
    </row>
    <row r="316" spans="1:9" ht="22.5">
      <c r="A316" s="64" t="s">
        <v>178</v>
      </c>
      <c r="B316" s="67" t="s">
        <v>294</v>
      </c>
      <c r="C316" s="8" t="s">
        <v>304</v>
      </c>
      <c r="D316" s="8" t="s">
        <v>179</v>
      </c>
      <c r="E316" s="6">
        <f>26094500-500000+1014000-300000</f>
        <v>26308500</v>
      </c>
      <c r="F316" s="6">
        <f>26094500-500000+1014000-300000</f>
        <v>26308500</v>
      </c>
      <c r="G316" s="101">
        <f t="shared" si="26"/>
        <v>1</v>
      </c>
      <c r="H316" s="1"/>
      <c r="I316" s="1"/>
    </row>
    <row r="317" spans="1:9" ht="33.75">
      <c r="A317" s="74" t="s">
        <v>465</v>
      </c>
      <c r="B317" s="75" t="s">
        <v>294</v>
      </c>
      <c r="C317" s="75" t="s">
        <v>466</v>
      </c>
      <c r="D317" s="78"/>
      <c r="E317" s="61">
        <f>E318</f>
        <v>6824266</v>
      </c>
      <c r="F317" s="61">
        <f>F318</f>
        <v>6807511.5899999999</v>
      </c>
      <c r="G317" s="101">
        <f t="shared" si="26"/>
        <v>0.9975448773538429</v>
      </c>
      <c r="H317" s="1"/>
      <c r="I317" s="1"/>
    </row>
    <row r="318" spans="1:9" ht="22.5">
      <c r="A318" s="76" t="s">
        <v>26</v>
      </c>
      <c r="B318" s="75" t="s">
        <v>294</v>
      </c>
      <c r="C318" s="75" t="s">
        <v>466</v>
      </c>
      <c r="D318" s="78">
        <v>200</v>
      </c>
      <c r="E318" s="61">
        <f>6780000+44266</f>
        <v>6824266</v>
      </c>
      <c r="F318" s="61">
        <v>6807511.5899999999</v>
      </c>
      <c r="G318" s="101">
        <f t="shared" si="26"/>
        <v>0.9975448773538429</v>
      </c>
      <c r="H318" s="1"/>
      <c r="I318" s="1"/>
    </row>
    <row r="319" spans="1:9" ht="33.75">
      <c r="A319" s="14" t="s">
        <v>305</v>
      </c>
      <c r="B319" s="9" t="s">
        <v>294</v>
      </c>
      <c r="C319" s="25" t="s">
        <v>306</v>
      </c>
      <c r="D319" s="15"/>
      <c r="E319" s="16">
        <f>E320</f>
        <v>141960</v>
      </c>
      <c r="F319" s="16">
        <f>F320</f>
        <v>104625</v>
      </c>
      <c r="G319" s="101">
        <f t="shared" si="26"/>
        <v>0.73700338123415043</v>
      </c>
      <c r="H319" s="1"/>
      <c r="I319" s="1"/>
    </row>
    <row r="320" spans="1:9" ht="22.5">
      <c r="A320" s="7" t="s">
        <v>178</v>
      </c>
      <c r="B320" s="9" t="s">
        <v>294</v>
      </c>
      <c r="C320" s="25" t="s">
        <v>306</v>
      </c>
      <c r="D320" s="15">
        <v>600</v>
      </c>
      <c r="E320" s="16">
        <f>78585+63375</f>
        <v>141960</v>
      </c>
      <c r="F320" s="16">
        <v>104625</v>
      </c>
      <c r="G320" s="101">
        <f t="shared" si="26"/>
        <v>0.73700338123415043</v>
      </c>
      <c r="H320" s="1"/>
      <c r="I320" s="1"/>
    </row>
    <row r="321" spans="1:9" ht="33.75">
      <c r="A321" s="76" t="s">
        <v>461</v>
      </c>
      <c r="B321" s="77" t="s">
        <v>294</v>
      </c>
      <c r="C321" s="77" t="s">
        <v>462</v>
      </c>
      <c r="D321" s="62"/>
      <c r="E321" s="61">
        <f>E322</f>
        <v>10000</v>
      </c>
      <c r="F321" s="61">
        <f>F322</f>
        <v>10000</v>
      </c>
      <c r="G321" s="101">
        <f t="shared" si="26"/>
        <v>1</v>
      </c>
      <c r="H321" s="1"/>
      <c r="I321" s="1"/>
    </row>
    <row r="322" spans="1:9" ht="22.5">
      <c r="A322" s="76" t="s">
        <v>178</v>
      </c>
      <c r="B322" s="77" t="s">
        <v>294</v>
      </c>
      <c r="C322" s="77" t="s">
        <v>462</v>
      </c>
      <c r="D322" s="62">
        <v>600</v>
      </c>
      <c r="E322" s="61">
        <v>10000</v>
      </c>
      <c r="F322" s="61">
        <v>10000</v>
      </c>
      <c r="G322" s="101">
        <f t="shared" si="26"/>
        <v>1</v>
      </c>
      <c r="H322" s="1"/>
      <c r="I322" s="1"/>
    </row>
    <row r="323" spans="1:9" ht="22.5">
      <c r="A323" s="79" t="s">
        <v>307</v>
      </c>
      <c r="B323" s="15" t="s">
        <v>294</v>
      </c>
      <c r="C323" s="15" t="s">
        <v>308</v>
      </c>
      <c r="D323" s="15"/>
      <c r="E323" s="16">
        <f>E324</f>
        <v>2197500</v>
      </c>
      <c r="F323" s="16">
        <f>F324</f>
        <v>2017967.5</v>
      </c>
      <c r="G323" s="101">
        <f t="shared" si="26"/>
        <v>0.91830147895335612</v>
      </c>
      <c r="H323" s="1"/>
      <c r="I323" s="1"/>
    </row>
    <row r="324" spans="1:9" ht="22.5">
      <c r="A324" s="66" t="s">
        <v>182</v>
      </c>
      <c r="B324" s="67" t="s">
        <v>294</v>
      </c>
      <c r="C324" s="8" t="s">
        <v>308</v>
      </c>
      <c r="D324" s="8" t="s">
        <v>179</v>
      </c>
      <c r="E324" s="6">
        <f>1862000+123000+292000+162000-280000+38500</f>
        <v>2197500</v>
      </c>
      <c r="F324" s="6">
        <v>2017967.5</v>
      </c>
      <c r="G324" s="101">
        <f t="shared" si="26"/>
        <v>0.91830147895335612</v>
      </c>
      <c r="H324" s="1"/>
      <c r="I324" s="1"/>
    </row>
    <row r="325" spans="1:9" ht="22.5">
      <c r="A325" s="76" t="s">
        <v>463</v>
      </c>
      <c r="B325" s="77" t="s">
        <v>294</v>
      </c>
      <c r="C325" s="77" t="s">
        <v>464</v>
      </c>
      <c r="D325" s="78"/>
      <c r="E325" s="5">
        <f>E326</f>
        <v>490000</v>
      </c>
      <c r="F325" s="5">
        <f>F326</f>
        <v>490000</v>
      </c>
      <c r="G325" s="101">
        <f t="shared" si="26"/>
        <v>1</v>
      </c>
      <c r="H325" s="1"/>
      <c r="I325" s="1"/>
    </row>
    <row r="326" spans="1:9" ht="22.5">
      <c r="A326" s="76" t="s">
        <v>178</v>
      </c>
      <c r="B326" s="77" t="s">
        <v>294</v>
      </c>
      <c r="C326" s="77" t="s">
        <v>464</v>
      </c>
      <c r="D326" s="78">
        <v>600</v>
      </c>
      <c r="E326" s="5">
        <v>490000</v>
      </c>
      <c r="F326" s="5">
        <v>490000</v>
      </c>
      <c r="G326" s="101">
        <f t="shared" si="26"/>
        <v>1</v>
      </c>
      <c r="H326" s="1"/>
      <c r="I326" s="1"/>
    </row>
    <row r="327" spans="1:9" ht="43.5" customHeight="1">
      <c r="A327" s="79" t="s">
        <v>288</v>
      </c>
      <c r="B327" s="15" t="s">
        <v>294</v>
      </c>
      <c r="C327" s="15" t="s">
        <v>309</v>
      </c>
      <c r="D327" s="15"/>
      <c r="E327" s="16">
        <f>E328</f>
        <v>59401000</v>
      </c>
      <c r="F327" s="16">
        <f>F328</f>
        <v>59401000</v>
      </c>
      <c r="G327" s="101">
        <f t="shared" si="26"/>
        <v>1</v>
      </c>
      <c r="H327" s="1"/>
      <c r="I327" s="1"/>
    </row>
    <row r="328" spans="1:9" ht="22.5">
      <c r="A328" s="66" t="s">
        <v>182</v>
      </c>
      <c r="B328" s="67" t="s">
        <v>294</v>
      </c>
      <c r="C328" s="8" t="s">
        <v>309</v>
      </c>
      <c r="D328" s="8" t="s">
        <v>179</v>
      </c>
      <c r="E328" s="6">
        <f>55059000+2245000+2897000-800000</f>
        <v>59401000</v>
      </c>
      <c r="F328" s="6">
        <f>55059000+2245000+2897000-800000</f>
        <v>59401000</v>
      </c>
      <c r="G328" s="101">
        <f t="shared" si="26"/>
        <v>1</v>
      </c>
      <c r="H328" s="1"/>
      <c r="I328" s="1"/>
    </row>
    <row r="329" spans="1:9" ht="33.75">
      <c r="A329" s="79" t="s">
        <v>310</v>
      </c>
      <c r="B329" s="15" t="s">
        <v>294</v>
      </c>
      <c r="C329" s="15" t="s">
        <v>311</v>
      </c>
      <c r="D329" s="15"/>
      <c r="E329" s="16">
        <f>E330</f>
        <v>585000</v>
      </c>
      <c r="F329" s="16">
        <f>F330</f>
        <v>585000</v>
      </c>
      <c r="G329" s="101">
        <f t="shared" si="26"/>
        <v>1</v>
      </c>
      <c r="H329" s="1"/>
      <c r="I329" s="1"/>
    </row>
    <row r="330" spans="1:9" ht="22.5">
      <c r="A330" s="64" t="s">
        <v>178</v>
      </c>
      <c r="B330" s="65" t="s">
        <v>294</v>
      </c>
      <c r="C330" s="15" t="s">
        <v>311</v>
      </c>
      <c r="D330" s="15" t="s">
        <v>179</v>
      </c>
      <c r="E330" s="16">
        <f>685000-100000</f>
        <v>585000</v>
      </c>
      <c r="F330" s="16">
        <f>685000-100000</f>
        <v>585000</v>
      </c>
      <c r="G330" s="101">
        <f t="shared" si="26"/>
        <v>1</v>
      </c>
      <c r="H330" s="1"/>
      <c r="I330" s="1"/>
    </row>
    <row r="331" spans="1:9" ht="33.75">
      <c r="A331" s="79" t="s">
        <v>312</v>
      </c>
      <c r="B331" s="15" t="s">
        <v>294</v>
      </c>
      <c r="C331" s="15" t="s">
        <v>313</v>
      </c>
      <c r="D331" s="15"/>
      <c r="E331" s="16">
        <f>E332</f>
        <v>69360</v>
      </c>
      <c r="F331" s="16">
        <f>F332</f>
        <v>69360</v>
      </c>
      <c r="G331" s="101">
        <f t="shared" si="26"/>
        <v>1</v>
      </c>
      <c r="H331" s="1"/>
      <c r="I331" s="1"/>
    </row>
    <row r="332" spans="1:9" ht="22.5">
      <c r="A332" s="66" t="s">
        <v>182</v>
      </c>
      <c r="B332" s="65" t="s">
        <v>294</v>
      </c>
      <c r="C332" s="15" t="s">
        <v>313</v>
      </c>
      <c r="D332" s="15" t="s">
        <v>179</v>
      </c>
      <c r="E332" s="16">
        <f>65000+3000+1360</f>
        <v>69360</v>
      </c>
      <c r="F332" s="16">
        <f>65000+3000+1360</f>
        <v>69360</v>
      </c>
      <c r="G332" s="101">
        <f t="shared" si="26"/>
        <v>1</v>
      </c>
      <c r="H332" s="1"/>
      <c r="I332" s="1"/>
    </row>
    <row r="333" spans="1:9" ht="45">
      <c r="A333" s="79" t="s">
        <v>314</v>
      </c>
      <c r="B333" s="15" t="s">
        <v>294</v>
      </c>
      <c r="C333" s="15" t="s">
        <v>315</v>
      </c>
      <c r="D333" s="15"/>
      <c r="E333" s="16">
        <f>E334</f>
        <v>400000</v>
      </c>
      <c r="F333" s="16">
        <f>F334</f>
        <v>320000</v>
      </c>
      <c r="G333" s="101">
        <f t="shared" si="26"/>
        <v>0.8</v>
      </c>
      <c r="H333" s="1"/>
      <c r="I333" s="1"/>
    </row>
    <row r="334" spans="1:9" ht="22.5">
      <c r="A334" s="64" t="s">
        <v>178</v>
      </c>
      <c r="B334" s="65" t="s">
        <v>294</v>
      </c>
      <c r="C334" s="25" t="s">
        <v>315</v>
      </c>
      <c r="D334" s="15" t="s">
        <v>179</v>
      </c>
      <c r="E334" s="6">
        <v>400000</v>
      </c>
      <c r="F334" s="6">
        <v>320000</v>
      </c>
      <c r="G334" s="101">
        <f t="shared" si="26"/>
        <v>0.8</v>
      </c>
      <c r="H334" s="1"/>
      <c r="I334" s="1"/>
    </row>
    <row r="335" spans="1:9" ht="56.25">
      <c r="A335" s="7" t="s">
        <v>507</v>
      </c>
      <c r="B335" s="9" t="s">
        <v>294</v>
      </c>
      <c r="C335" s="9" t="s">
        <v>508</v>
      </c>
      <c r="D335" s="8"/>
      <c r="E335" s="6">
        <f>E336</f>
        <v>78120</v>
      </c>
      <c r="F335" s="6">
        <f>F336</f>
        <v>67890</v>
      </c>
      <c r="G335" s="101">
        <f t="shared" si="26"/>
        <v>0.86904761904761907</v>
      </c>
      <c r="H335" s="1"/>
      <c r="I335" s="1"/>
    </row>
    <row r="336" spans="1:9" ht="22.5">
      <c r="A336" s="7" t="s">
        <v>178</v>
      </c>
      <c r="B336" s="9" t="s">
        <v>294</v>
      </c>
      <c r="C336" s="9" t="s">
        <v>508</v>
      </c>
      <c r="D336" s="8">
        <v>600</v>
      </c>
      <c r="E336" s="6">
        <v>78120</v>
      </c>
      <c r="F336" s="6">
        <v>67890</v>
      </c>
      <c r="G336" s="101">
        <f t="shared" si="26"/>
        <v>0.86904761904761907</v>
      </c>
      <c r="H336" s="1"/>
      <c r="I336" s="1"/>
    </row>
    <row r="337" spans="1:9" ht="21">
      <c r="A337" s="17" t="s">
        <v>29</v>
      </c>
      <c r="B337" s="13" t="s">
        <v>294</v>
      </c>
      <c r="C337" s="13" t="s">
        <v>30</v>
      </c>
      <c r="D337" s="13"/>
      <c r="E337" s="18">
        <f t="shared" ref="E337:F340" si="28">E338</f>
        <v>732500</v>
      </c>
      <c r="F337" s="18">
        <f t="shared" si="28"/>
        <v>732500</v>
      </c>
      <c r="G337" s="101">
        <f t="shared" si="26"/>
        <v>1</v>
      </c>
      <c r="H337" s="1"/>
      <c r="I337" s="1"/>
    </row>
    <row r="338" spans="1:9" ht="22.5">
      <c r="A338" s="19" t="s">
        <v>31</v>
      </c>
      <c r="B338" s="20" t="s">
        <v>294</v>
      </c>
      <c r="C338" s="20" t="s">
        <v>32</v>
      </c>
      <c r="D338" s="20"/>
      <c r="E338" s="21">
        <f t="shared" si="28"/>
        <v>732500</v>
      </c>
      <c r="F338" s="21">
        <f t="shared" si="28"/>
        <v>732500</v>
      </c>
      <c r="G338" s="101">
        <f t="shared" si="26"/>
        <v>1</v>
      </c>
      <c r="H338" s="1"/>
      <c r="I338" s="1"/>
    </row>
    <row r="339" spans="1:9" ht="22.5">
      <c r="A339" s="22" t="s">
        <v>33</v>
      </c>
      <c r="B339" s="23" t="s">
        <v>294</v>
      </c>
      <c r="C339" s="23" t="s">
        <v>34</v>
      </c>
      <c r="D339" s="23"/>
      <c r="E339" s="24">
        <f t="shared" si="28"/>
        <v>732500</v>
      </c>
      <c r="F339" s="24">
        <f t="shared" si="28"/>
        <v>732500</v>
      </c>
      <c r="G339" s="101">
        <f t="shared" si="26"/>
        <v>1</v>
      </c>
      <c r="H339" s="1"/>
      <c r="I339" s="1"/>
    </row>
    <row r="340" spans="1:9" ht="22.5">
      <c r="A340" s="63" t="s">
        <v>292</v>
      </c>
      <c r="B340" s="15" t="s">
        <v>294</v>
      </c>
      <c r="C340" s="15" t="s">
        <v>36</v>
      </c>
      <c r="D340" s="15"/>
      <c r="E340" s="16">
        <f t="shared" si="28"/>
        <v>732500</v>
      </c>
      <c r="F340" s="16">
        <f t="shared" si="28"/>
        <v>732500</v>
      </c>
      <c r="G340" s="101">
        <f t="shared" si="26"/>
        <v>1</v>
      </c>
      <c r="H340" s="1"/>
      <c r="I340" s="1"/>
    </row>
    <row r="341" spans="1:9" ht="22.5">
      <c r="A341" s="64" t="s">
        <v>178</v>
      </c>
      <c r="B341" s="65" t="s">
        <v>294</v>
      </c>
      <c r="C341" s="15" t="s">
        <v>36</v>
      </c>
      <c r="D341" s="15" t="s">
        <v>179</v>
      </c>
      <c r="E341" s="6">
        <v>732500</v>
      </c>
      <c r="F341" s="6">
        <v>732500</v>
      </c>
      <c r="G341" s="101">
        <f t="shared" si="26"/>
        <v>1</v>
      </c>
      <c r="H341" s="1"/>
      <c r="I341" s="1"/>
    </row>
    <row r="342" spans="1:9" ht="12.75">
      <c r="A342" s="68" t="s">
        <v>316</v>
      </c>
      <c r="B342" s="15" t="s">
        <v>317</v>
      </c>
      <c r="C342" s="15"/>
      <c r="D342" s="15"/>
      <c r="E342" s="16">
        <f>E343+E356+E365</f>
        <v>23402709.100000001</v>
      </c>
      <c r="F342" s="16">
        <f>F343+F356+F365</f>
        <v>22323673.310000002</v>
      </c>
      <c r="G342" s="101">
        <f t="shared" si="26"/>
        <v>0.95389269740570337</v>
      </c>
      <c r="H342" s="1"/>
      <c r="I342" s="1"/>
    </row>
    <row r="343" spans="1:9" ht="31.5">
      <c r="A343" s="17" t="s">
        <v>67</v>
      </c>
      <c r="B343" s="13" t="s">
        <v>317</v>
      </c>
      <c r="C343" s="13" t="s">
        <v>68</v>
      </c>
      <c r="D343" s="13"/>
      <c r="E343" s="18">
        <f>E344</f>
        <v>16063246</v>
      </c>
      <c r="F343" s="18">
        <f>F344</f>
        <v>15024210.210000001</v>
      </c>
      <c r="G343" s="101">
        <f t="shared" ref="G343:G406" si="29">F343/E343</f>
        <v>0.93531595108485555</v>
      </c>
      <c r="H343" s="1"/>
      <c r="I343" s="1"/>
    </row>
    <row r="344" spans="1:9" ht="22.5">
      <c r="A344" s="19" t="s">
        <v>278</v>
      </c>
      <c r="B344" s="20" t="s">
        <v>317</v>
      </c>
      <c r="C344" s="20" t="s">
        <v>279</v>
      </c>
      <c r="D344" s="20"/>
      <c r="E344" s="21">
        <f>E345</f>
        <v>16063246</v>
      </c>
      <c r="F344" s="21">
        <f>F345</f>
        <v>15024210.210000001</v>
      </c>
      <c r="G344" s="101">
        <f t="shared" si="29"/>
        <v>0.93531595108485555</v>
      </c>
      <c r="H344" s="1"/>
      <c r="I344" s="1"/>
    </row>
    <row r="345" spans="1:9" ht="12.75">
      <c r="A345" s="22" t="s">
        <v>318</v>
      </c>
      <c r="B345" s="23" t="s">
        <v>317</v>
      </c>
      <c r="C345" s="23" t="s">
        <v>319</v>
      </c>
      <c r="D345" s="23"/>
      <c r="E345" s="24">
        <f>E346+E348+E350+E352+E354</f>
        <v>16063246</v>
      </c>
      <c r="F345" s="24">
        <f>F346+F348+F350+F352+F354</f>
        <v>15024210.210000001</v>
      </c>
      <c r="G345" s="101">
        <f t="shared" si="29"/>
        <v>0.93531595108485555</v>
      </c>
      <c r="H345" s="1"/>
      <c r="I345" s="1"/>
    </row>
    <row r="346" spans="1:9" ht="56.25">
      <c r="A346" s="79" t="s">
        <v>320</v>
      </c>
      <c r="B346" s="15" t="s">
        <v>317</v>
      </c>
      <c r="C346" s="15" t="s">
        <v>321</v>
      </c>
      <c r="D346" s="15"/>
      <c r="E346" s="16">
        <f>E347</f>
        <v>11469396</v>
      </c>
      <c r="F346" s="16">
        <f>F347</f>
        <v>11469396</v>
      </c>
      <c r="G346" s="101">
        <f t="shared" si="29"/>
        <v>1</v>
      </c>
      <c r="H346" s="1"/>
      <c r="I346" s="1"/>
    </row>
    <row r="347" spans="1:9" ht="22.5">
      <c r="A347" s="64" t="s">
        <v>178</v>
      </c>
      <c r="B347" s="67" t="s">
        <v>317</v>
      </c>
      <c r="C347" s="8" t="s">
        <v>321</v>
      </c>
      <c r="D347" s="8" t="s">
        <v>179</v>
      </c>
      <c r="E347" s="6">
        <f>9300116+804000+1295280+70000</f>
        <v>11469396</v>
      </c>
      <c r="F347" s="6">
        <f>9300116+804000+1295280+70000</f>
        <v>11469396</v>
      </c>
      <c r="G347" s="101">
        <f t="shared" si="29"/>
        <v>1</v>
      </c>
      <c r="H347" s="1"/>
      <c r="I347" s="1"/>
    </row>
    <row r="348" spans="1:9" ht="45.6" customHeight="1">
      <c r="A348" s="79" t="s">
        <v>288</v>
      </c>
      <c r="B348" s="15" t="s">
        <v>317</v>
      </c>
      <c r="C348" s="15" t="s">
        <v>322</v>
      </c>
      <c r="D348" s="15"/>
      <c r="E348" s="16">
        <f>E349</f>
        <v>1212760</v>
      </c>
      <c r="F348" s="16">
        <f>F349</f>
        <v>1212760</v>
      </c>
      <c r="G348" s="101">
        <f t="shared" si="29"/>
        <v>1</v>
      </c>
      <c r="H348" s="1"/>
      <c r="I348" s="1"/>
    </row>
    <row r="349" spans="1:9" ht="22.5">
      <c r="A349" s="64" t="s">
        <v>178</v>
      </c>
      <c r="B349" s="65" t="s">
        <v>323</v>
      </c>
      <c r="C349" s="15" t="s">
        <v>322</v>
      </c>
      <c r="D349" s="15" t="s">
        <v>179</v>
      </c>
      <c r="E349" s="6">
        <f>1776000-696000+132760</f>
        <v>1212760</v>
      </c>
      <c r="F349" s="6">
        <f>1776000-696000+132760</f>
        <v>1212760</v>
      </c>
      <c r="G349" s="101">
        <f t="shared" si="29"/>
        <v>1</v>
      </c>
      <c r="H349" s="1"/>
      <c r="I349" s="1"/>
    </row>
    <row r="350" spans="1:9" ht="12.75">
      <c r="A350" s="7" t="s">
        <v>324</v>
      </c>
      <c r="B350" s="8" t="s">
        <v>317</v>
      </c>
      <c r="C350" s="9" t="s">
        <v>325</v>
      </c>
      <c r="D350" s="8"/>
      <c r="E350" s="6">
        <f>E351</f>
        <v>2906981</v>
      </c>
      <c r="F350" s="6">
        <f>F351</f>
        <v>2013642</v>
      </c>
      <c r="G350" s="101">
        <f t="shared" si="29"/>
        <v>0.69269183389915512</v>
      </c>
      <c r="H350" s="1"/>
      <c r="I350" s="1"/>
    </row>
    <row r="351" spans="1:9" ht="22.5">
      <c r="A351" s="7" t="s">
        <v>178</v>
      </c>
      <c r="B351" s="8" t="s">
        <v>317</v>
      </c>
      <c r="C351" s="9" t="s">
        <v>325</v>
      </c>
      <c r="D351" s="8">
        <v>600</v>
      </c>
      <c r="E351" s="6">
        <v>2906981</v>
      </c>
      <c r="F351" s="6">
        <v>2013642</v>
      </c>
      <c r="G351" s="101">
        <f t="shared" si="29"/>
        <v>0.69269183389915512</v>
      </c>
      <c r="H351" s="1"/>
      <c r="I351" s="1"/>
    </row>
    <row r="352" spans="1:9" ht="22.5">
      <c r="A352" s="7" t="s">
        <v>326</v>
      </c>
      <c r="B352" s="8" t="s">
        <v>317</v>
      </c>
      <c r="C352" s="9" t="s">
        <v>327</v>
      </c>
      <c r="D352" s="8"/>
      <c r="E352" s="6">
        <f>E353</f>
        <v>338109</v>
      </c>
      <c r="F352" s="6">
        <f>F353</f>
        <v>234205.89</v>
      </c>
      <c r="G352" s="101">
        <f t="shared" si="29"/>
        <v>0.69269345092854673</v>
      </c>
      <c r="H352" s="1"/>
      <c r="I352" s="1"/>
    </row>
    <row r="353" spans="1:9" ht="22.5">
      <c r="A353" s="7" t="s">
        <v>178</v>
      </c>
      <c r="B353" s="8" t="s">
        <v>317</v>
      </c>
      <c r="C353" s="9" t="s">
        <v>327</v>
      </c>
      <c r="D353" s="8">
        <v>600</v>
      </c>
      <c r="E353" s="6">
        <v>338109</v>
      </c>
      <c r="F353" s="6">
        <v>234205.89</v>
      </c>
      <c r="G353" s="101">
        <f t="shared" si="29"/>
        <v>0.69269345092854673</v>
      </c>
      <c r="H353" s="1"/>
      <c r="I353" s="1"/>
    </row>
    <row r="354" spans="1:9" ht="33.75">
      <c r="A354" s="7" t="s">
        <v>328</v>
      </c>
      <c r="B354" s="8" t="s">
        <v>317</v>
      </c>
      <c r="C354" s="9" t="s">
        <v>329</v>
      </c>
      <c r="D354" s="8"/>
      <c r="E354" s="6">
        <f>E355</f>
        <v>136000</v>
      </c>
      <c r="F354" s="6">
        <f>F355</f>
        <v>94206.32</v>
      </c>
      <c r="G354" s="101">
        <f t="shared" si="29"/>
        <v>0.69269352941176476</v>
      </c>
      <c r="H354" s="1"/>
      <c r="I354" s="1"/>
    </row>
    <row r="355" spans="1:9" ht="22.5">
      <c r="A355" s="7" t="s">
        <v>178</v>
      </c>
      <c r="B355" s="8" t="s">
        <v>317</v>
      </c>
      <c r="C355" s="9" t="s">
        <v>329</v>
      </c>
      <c r="D355" s="8">
        <v>600</v>
      </c>
      <c r="E355" s="6">
        <v>136000</v>
      </c>
      <c r="F355" s="6">
        <v>94206.32</v>
      </c>
      <c r="G355" s="101">
        <f t="shared" si="29"/>
        <v>0.69269352941176476</v>
      </c>
      <c r="H355" s="1"/>
      <c r="I355" s="1"/>
    </row>
    <row r="356" spans="1:9" ht="21">
      <c r="A356" s="17" t="s">
        <v>220</v>
      </c>
      <c r="B356" s="33" t="s">
        <v>317</v>
      </c>
      <c r="C356" s="13" t="s">
        <v>221</v>
      </c>
      <c r="D356" s="8"/>
      <c r="E356" s="34">
        <f>E357</f>
        <v>7271610.2999999998</v>
      </c>
      <c r="F356" s="34">
        <f>F357</f>
        <v>7231610.2999999998</v>
      </c>
      <c r="G356" s="101">
        <f t="shared" si="29"/>
        <v>0.99449915515962128</v>
      </c>
      <c r="H356" s="1"/>
      <c r="I356" s="1"/>
    </row>
    <row r="357" spans="1:9" ht="22.5">
      <c r="A357" s="69" t="s">
        <v>330</v>
      </c>
      <c r="B357" s="36" t="s">
        <v>317</v>
      </c>
      <c r="C357" s="26" t="s">
        <v>331</v>
      </c>
      <c r="D357" s="20"/>
      <c r="E357" s="27">
        <f>E358</f>
        <v>7271610.2999999998</v>
      </c>
      <c r="F357" s="27">
        <f>F358</f>
        <v>7231610.2999999998</v>
      </c>
      <c r="G357" s="101">
        <f t="shared" si="29"/>
        <v>0.99449915515962128</v>
      </c>
      <c r="H357" s="1"/>
      <c r="I357" s="1"/>
    </row>
    <row r="358" spans="1:9" ht="22.5">
      <c r="A358" s="70" t="s">
        <v>332</v>
      </c>
      <c r="B358" s="38" t="s">
        <v>317</v>
      </c>
      <c r="C358" s="82" t="s">
        <v>333</v>
      </c>
      <c r="D358" s="15"/>
      <c r="E358" s="29">
        <f>E359+E363+E361</f>
        <v>7271610.2999999998</v>
      </c>
      <c r="F358" s="29">
        <f>F359+F363+F361</f>
        <v>7231610.2999999998</v>
      </c>
      <c r="G358" s="101">
        <f t="shared" si="29"/>
        <v>0.99449915515962128</v>
      </c>
      <c r="H358" s="1"/>
      <c r="I358" s="1"/>
    </row>
    <row r="359" spans="1:9" ht="45">
      <c r="A359" s="83" t="s">
        <v>334</v>
      </c>
      <c r="B359" s="8" t="s">
        <v>317</v>
      </c>
      <c r="C359" s="84" t="s">
        <v>335</v>
      </c>
      <c r="D359" s="65"/>
      <c r="E359" s="6">
        <f>E360</f>
        <v>6911610.2999999998</v>
      </c>
      <c r="F359" s="6">
        <f>F360</f>
        <v>6911610.2999999998</v>
      </c>
      <c r="G359" s="101">
        <f t="shared" si="29"/>
        <v>1</v>
      </c>
      <c r="H359" s="1"/>
      <c r="I359" s="1"/>
    </row>
    <row r="360" spans="1:9" ht="22.5">
      <c r="A360" s="64" t="s">
        <v>178</v>
      </c>
      <c r="B360" s="67" t="s">
        <v>317</v>
      </c>
      <c r="C360" s="85" t="s">
        <v>335</v>
      </c>
      <c r="D360" s="8" t="s">
        <v>179</v>
      </c>
      <c r="E360" s="6">
        <f>5758758+500000+627000+25852.3</f>
        <v>6911610.2999999998</v>
      </c>
      <c r="F360" s="6">
        <f>5758758+500000+627000+25852.3</f>
        <v>6911610.2999999998</v>
      </c>
      <c r="G360" s="101">
        <f t="shared" si="29"/>
        <v>1</v>
      </c>
      <c r="H360" s="1"/>
      <c r="I360" s="1"/>
    </row>
    <row r="361" spans="1:9" ht="22.5">
      <c r="A361" s="74" t="s">
        <v>517</v>
      </c>
      <c r="B361" s="67" t="s">
        <v>317</v>
      </c>
      <c r="C361" s="99" t="s">
        <v>504</v>
      </c>
      <c r="D361" s="78"/>
      <c r="E361" s="61">
        <f>E362</f>
        <v>160000</v>
      </c>
      <c r="F361" s="61">
        <f>F362</f>
        <v>160000</v>
      </c>
      <c r="G361" s="101">
        <f t="shared" si="29"/>
        <v>1</v>
      </c>
      <c r="H361" s="1"/>
      <c r="I361" s="1"/>
    </row>
    <row r="362" spans="1:9" ht="22.5">
      <c r="A362" s="74" t="s">
        <v>178</v>
      </c>
      <c r="B362" s="67" t="s">
        <v>317</v>
      </c>
      <c r="C362" s="99" t="s">
        <v>504</v>
      </c>
      <c r="D362" s="78">
        <v>600</v>
      </c>
      <c r="E362" s="61">
        <v>160000</v>
      </c>
      <c r="F362" s="61">
        <v>160000</v>
      </c>
      <c r="G362" s="101">
        <f t="shared" si="29"/>
        <v>1</v>
      </c>
      <c r="H362" s="1"/>
      <c r="I362" s="1"/>
    </row>
    <row r="363" spans="1:9" ht="33.6" customHeight="1">
      <c r="A363" s="79" t="s">
        <v>314</v>
      </c>
      <c r="B363" s="8" t="s">
        <v>317</v>
      </c>
      <c r="C363" s="85" t="s">
        <v>336</v>
      </c>
      <c r="D363" s="8"/>
      <c r="E363" s="6">
        <f>E364</f>
        <v>200000</v>
      </c>
      <c r="F363" s="6">
        <f>F364</f>
        <v>160000</v>
      </c>
      <c r="G363" s="101">
        <f t="shared" si="29"/>
        <v>0.8</v>
      </c>
      <c r="H363" s="1"/>
      <c r="I363" s="1"/>
    </row>
    <row r="364" spans="1:9" ht="22.5">
      <c r="A364" s="64" t="s">
        <v>178</v>
      </c>
      <c r="B364" s="67" t="s">
        <v>317</v>
      </c>
      <c r="C364" s="85" t="s">
        <v>336</v>
      </c>
      <c r="D364" s="15" t="s">
        <v>179</v>
      </c>
      <c r="E364" s="6">
        <v>200000</v>
      </c>
      <c r="F364" s="6">
        <v>160000</v>
      </c>
      <c r="G364" s="101">
        <f t="shared" si="29"/>
        <v>0.8</v>
      </c>
      <c r="H364" s="1"/>
      <c r="I364" s="1"/>
    </row>
    <row r="365" spans="1:9" ht="21">
      <c r="A365" s="17" t="s">
        <v>29</v>
      </c>
      <c r="B365" s="13" t="s">
        <v>317</v>
      </c>
      <c r="C365" s="13" t="s">
        <v>30</v>
      </c>
      <c r="D365" s="13"/>
      <c r="E365" s="18">
        <f t="shared" ref="E365:F368" si="30">E366</f>
        <v>67852.800000000003</v>
      </c>
      <c r="F365" s="18">
        <f t="shared" si="30"/>
        <v>67852.800000000003</v>
      </c>
      <c r="G365" s="101">
        <f t="shared" si="29"/>
        <v>1</v>
      </c>
      <c r="H365" s="1"/>
      <c r="I365" s="1"/>
    </row>
    <row r="366" spans="1:9" ht="22.5">
      <c r="A366" s="19" t="s">
        <v>31</v>
      </c>
      <c r="B366" s="20" t="s">
        <v>317</v>
      </c>
      <c r="C366" s="20" t="s">
        <v>32</v>
      </c>
      <c r="D366" s="20"/>
      <c r="E366" s="21">
        <f t="shared" si="30"/>
        <v>67852.800000000003</v>
      </c>
      <c r="F366" s="21">
        <f t="shared" si="30"/>
        <v>67852.800000000003</v>
      </c>
      <c r="G366" s="101">
        <f t="shared" si="29"/>
        <v>1</v>
      </c>
      <c r="H366" s="1"/>
      <c r="I366" s="1"/>
    </row>
    <row r="367" spans="1:9" ht="22.5">
      <c r="A367" s="22" t="s">
        <v>33</v>
      </c>
      <c r="B367" s="23" t="s">
        <v>317</v>
      </c>
      <c r="C367" s="23" t="s">
        <v>34</v>
      </c>
      <c r="D367" s="23"/>
      <c r="E367" s="24">
        <f t="shared" si="30"/>
        <v>67852.800000000003</v>
      </c>
      <c r="F367" s="24">
        <f t="shared" si="30"/>
        <v>67852.800000000003</v>
      </c>
      <c r="G367" s="101">
        <f t="shared" si="29"/>
        <v>1</v>
      </c>
      <c r="H367" s="1"/>
      <c r="I367" s="1"/>
    </row>
    <row r="368" spans="1:9" ht="22.5">
      <c r="A368" s="63" t="s">
        <v>292</v>
      </c>
      <c r="B368" s="15" t="s">
        <v>317</v>
      </c>
      <c r="C368" s="15" t="s">
        <v>36</v>
      </c>
      <c r="D368" s="15"/>
      <c r="E368" s="16">
        <f t="shared" si="30"/>
        <v>67852.800000000003</v>
      </c>
      <c r="F368" s="16">
        <f t="shared" si="30"/>
        <v>67852.800000000003</v>
      </c>
      <c r="G368" s="101">
        <f t="shared" si="29"/>
        <v>1</v>
      </c>
      <c r="H368" s="1"/>
      <c r="I368" s="1"/>
    </row>
    <row r="369" spans="1:9" s="10" customFormat="1" ht="22.5">
      <c r="A369" s="64" t="s">
        <v>178</v>
      </c>
      <c r="B369" s="65" t="s">
        <v>317</v>
      </c>
      <c r="C369" s="15" t="s">
        <v>36</v>
      </c>
      <c r="D369" s="15" t="s">
        <v>179</v>
      </c>
      <c r="E369" s="6">
        <v>67852.800000000003</v>
      </c>
      <c r="F369" s="6">
        <v>67852.800000000003</v>
      </c>
      <c r="G369" s="101">
        <f t="shared" si="29"/>
        <v>1</v>
      </c>
      <c r="H369" s="102"/>
      <c r="I369" s="102"/>
    </row>
    <row r="370" spans="1:9" ht="12.75">
      <c r="A370" s="68" t="s">
        <v>337</v>
      </c>
      <c r="B370" s="15" t="s">
        <v>338</v>
      </c>
      <c r="C370" s="15"/>
      <c r="D370" s="15"/>
      <c r="E370" s="16">
        <f>E371+E376</f>
        <v>309398.45000000007</v>
      </c>
      <c r="F370" s="16">
        <f>F371+F376</f>
        <v>309398.45000000007</v>
      </c>
      <c r="G370" s="101">
        <f t="shared" si="29"/>
        <v>1</v>
      </c>
      <c r="H370" s="1"/>
      <c r="I370" s="1"/>
    </row>
    <row r="371" spans="1:9" ht="31.5">
      <c r="A371" s="17" t="s">
        <v>67</v>
      </c>
      <c r="B371" s="13" t="s">
        <v>338</v>
      </c>
      <c r="C371" s="13" t="s">
        <v>68</v>
      </c>
      <c r="D371" s="13"/>
      <c r="E371" s="18">
        <f t="shared" ref="E371:F374" si="31">E372</f>
        <v>30000</v>
      </c>
      <c r="F371" s="18">
        <f t="shared" si="31"/>
        <v>30000</v>
      </c>
      <c r="G371" s="101">
        <f t="shared" si="29"/>
        <v>1</v>
      </c>
      <c r="H371" s="1"/>
      <c r="I371" s="1"/>
    </row>
    <row r="372" spans="1:9" ht="12.75">
      <c r="A372" s="86" t="s">
        <v>172</v>
      </c>
      <c r="B372" s="26" t="s">
        <v>338</v>
      </c>
      <c r="C372" s="20" t="s">
        <v>173</v>
      </c>
      <c r="D372" s="20"/>
      <c r="E372" s="21">
        <f t="shared" si="31"/>
        <v>30000</v>
      </c>
      <c r="F372" s="21">
        <f t="shared" si="31"/>
        <v>30000</v>
      </c>
      <c r="G372" s="101">
        <f t="shared" si="29"/>
        <v>1</v>
      </c>
      <c r="H372" s="1"/>
      <c r="I372" s="1"/>
    </row>
    <row r="373" spans="1:9" ht="12.75">
      <c r="A373" s="22" t="s">
        <v>339</v>
      </c>
      <c r="B373" s="28" t="s">
        <v>338</v>
      </c>
      <c r="C373" s="23" t="s">
        <v>340</v>
      </c>
      <c r="D373" s="23"/>
      <c r="E373" s="24">
        <f t="shared" si="31"/>
        <v>30000</v>
      </c>
      <c r="F373" s="24">
        <f t="shared" si="31"/>
        <v>30000</v>
      </c>
      <c r="G373" s="101">
        <f t="shared" si="29"/>
        <v>1</v>
      </c>
      <c r="H373" s="1"/>
      <c r="I373" s="1"/>
    </row>
    <row r="374" spans="1:9" ht="12.75">
      <c r="A374" s="63" t="s">
        <v>341</v>
      </c>
      <c r="B374" s="25" t="s">
        <v>338</v>
      </c>
      <c r="C374" s="15" t="s">
        <v>342</v>
      </c>
      <c r="D374" s="15"/>
      <c r="E374" s="16">
        <f t="shared" si="31"/>
        <v>30000</v>
      </c>
      <c r="F374" s="16">
        <f t="shared" si="31"/>
        <v>30000</v>
      </c>
      <c r="G374" s="101">
        <f t="shared" si="29"/>
        <v>1</v>
      </c>
      <c r="H374" s="1"/>
      <c r="I374" s="1"/>
    </row>
    <row r="375" spans="1:9" ht="22.5">
      <c r="A375" s="64" t="s">
        <v>178</v>
      </c>
      <c r="B375" s="81" t="s">
        <v>338</v>
      </c>
      <c r="C375" s="8" t="s">
        <v>342</v>
      </c>
      <c r="D375" s="8" t="s">
        <v>179</v>
      </c>
      <c r="E375" s="16">
        <v>30000</v>
      </c>
      <c r="F375" s="16">
        <v>30000</v>
      </c>
      <c r="G375" s="101">
        <f t="shared" si="29"/>
        <v>1</v>
      </c>
      <c r="H375" s="1"/>
      <c r="I375" s="1"/>
    </row>
    <row r="376" spans="1:9" ht="21">
      <c r="A376" s="17" t="s">
        <v>220</v>
      </c>
      <c r="B376" s="13" t="s">
        <v>338</v>
      </c>
      <c r="C376" s="13" t="s">
        <v>221</v>
      </c>
      <c r="D376" s="13"/>
      <c r="E376" s="18">
        <f t="shared" ref="E376:F379" si="32">E377</f>
        <v>279398.45000000007</v>
      </c>
      <c r="F376" s="18">
        <f t="shared" si="32"/>
        <v>279398.45000000007</v>
      </c>
      <c r="G376" s="101">
        <f t="shared" si="29"/>
        <v>1</v>
      </c>
      <c r="H376" s="1"/>
      <c r="I376" s="1"/>
    </row>
    <row r="377" spans="1:9" ht="12.75">
      <c r="A377" s="19" t="s">
        <v>343</v>
      </c>
      <c r="B377" s="20" t="s">
        <v>338</v>
      </c>
      <c r="C377" s="20" t="s">
        <v>344</v>
      </c>
      <c r="D377" s="20"/>
      <c r="E377" s="21">
        <f t="shared" si="32"/>
        <v>279398.45000000007</v>
      </c>
      <c r="F377" s="21">
        <f t="shared" si="32"/>
        <v>279398.45000000007</v>
      </c>
      <c r="G377" s="101">
        <f t="shared" si="29"/>
        <v>1</v>
      </c>
      <c r="H377" s="1"/>
      <c r="I377" s="1"/>
    </row>
    <row r="378" spans="1:9" ht="22.5">
      <c r="A378" s="22" t="s">
        <v>345</v>
      </c>
      <c r="B378" s="23" t="s">
        <v>338</v>
      </c>
      <c r="C378" s="23" t="s">
        <v>346</v>
      </c>
      <c r="D378" s="23"/>
      <c r="E378" s="24">
        <f t="shared" si="32"/>
        <v>279398.45000000007</v>
      </c>
      <c r="F378" s="24">
        <f t="shared" si="32"/>
        <v>279398.45000000007</v>
      </c>
      <c r="G378" s="101">
        <f t="shared" si="29"/>
        <v>1</v>
      </c>
      <c r="H378" s="1"/>
      <c r="I378" s="1"/>
    </row>
    <row r="379" spans="1:9" ht="33.75">
      <c r="A379" s="63" t="s">
        <v>347</v>
      </c>
      <c r="B379" s="15" t="s">
        <v>338</v>
      </c>
      <c r="C379" s="15" t="s">
        <v>348</v>
      </c>
      <c r="D379" s="15"/>
      <c r="E379" s="16">
        <f t="shared" si="32"/>
        <v>279398.45000000007</v>
      </c>
      <c r="F379" s="16">
        <f t="shared" si="32"/>
        <v>279398.45000000007</v>
      </c>
      <c r="G379" s="101">
        <f t="shared" si="29"/>
        <v>1</v>
      </c>
      <c r="H379" s="1"/>
      <c r="I379" s="1"/>
    </row>
    <row r="380" spans="1:9" ht="22.5">
      <c r="A380" s="64" t="s">
        <v>178</v>
      </c>
      <c r="B380" s="67" t="s">
        <v>338</v>
      </c>
      <c r="C380" s="8" t="s">
        <v>348</v>
      </c>
      <c r="D380" s="8" t="s">
        <v>179</v>
      </c>
      <c r="E380" s="6">
        <f>869000+141000-413248.91-317352.64</f>
        <v>279398.45000000007</v>
      </c>
      <c r="F380" s="6">
        <f>869000+141000-413248.91-317352.64</f>
        <v>279398.45000000007</v>
      </c>
      <c r="G380" s="101">
        <f t="shared" si="29"/>
        <v>1</v>
      </c>
      <c r="H380" s="1"/>
      <c r="I380" s="1"/>
    </row>
    <row r="381" spans="1:9" ht="12.75">
      <c r="A381" s="68" t="s">
        <v>349</v>
      </c>
      <c r="B381" s="15" t="s">
        <v>350</v>
      </c>
      <c r="C381" s="15"/>
      <c r="D381" s="15"/>
      <c r="E381" s="16">
        <f>E399+E382</f>
        <v>4395193.45</v>
      </c>
      <c r="F381" s="16">
        <f>F399+F382</f>
        <v>3153294.3600000003</v>
      </c>
      <c r="G381" s="101">
        <f t="shared" si="29"/>
        <v>0.71744154059931087</v>
      </c>
      <c r="H381" s="1"/>
      <c r="I381" s="1"/>
    </row>
    <row r="382" spans="1:9" ht="31.5">
      <c r="A382" s="17" t="s">
        <v>67</v>
      </c>
      <c r="B382" s="15" t="s">
        <v>350</v>
      </c>
      <c r="C382" s="13" t="s">
        <v>68</v>
      </c>
      <c r="D382" s="13"/>
      <c r="E382" s="18">
        <f>E383+E395</f>
        <v>1849000</v>
      </c>
      <c r="F382" s="18">
        <f>F383+F395</f>
        <v>607905.26</v>
      </c>
      <c r="G382" s="101">
        <f t="shared" si="29"/>
        <v>0.32877515413737157</v>
      </c>
      <c r="H382" s="1"/>
      <c r="I382" s="1"/>
    </row>
    <row r="383" spans="1:9" ht="22.5">
      <c r="A383" s="19" t="s">
        <v>278</v>
      </c>
      <c r="B383" s="15" t="s">
        <v>350</v>
      </c>
      <c r="C383" s="20" t="s">
        <v>279</v>
      </c>
      <c r="D383" s="13"/>
      <c r="E383" s="18">
        <f>E389+E392+E384</f>
        <v>1809000</v>
      </c>
      <c r="F383" s="18">
        <f>F389+F392+F384</f>
        <v>567905.26</v>
      </c>
      <c r="G383" s="101">
        <f t="shared" si="29"/>
        <v>0.3139332559425097</v>
      </c>
      <c r="H383" s="1"/>
      <c r="I383" s="1"/>
    </row>
    <row r="384" spans="1:9" ht="12.75">
      <c r="A384" s="87" t="s">
        <v>280</v>
      </c>
      <c r="B384" s="88" t="s">
        <v>350</v>
      </c>
      <c r="C384" s="88" t="s">
        <v>281</v>
      </c>
      <c r="D384" s="89"/>
      <c r="E384" s="5">
        <f>E385+E387</f>
        <v>1200000</v>
      </c>
      <c r="F384" s="5">
        <f>F385+F387</f>
        <v>0</v>
      </c>
      <c r="G384" s="101">
        <f t="shared" si="29"/>
        <v>0</v>
      </c>
      <c r="H384" s="1"/>
      <c r="I384" s="1"/>
    </row>
    <row r="385" spans="1:9" ht="22.5">
      <c r="A385" s="76" t="s">
        <v>455</v>
      </c>
      <c r="B385" s="77" t="s">
        <v>350</v>
      </c>
      <c r="C385" s="77" t="s">
        <v>457</v>
      </c>
      <c r="D385" s="89"/>
      <c r="E385" s="5">
        <f>E386</f>
        <v>60000</v>
      </c>
      <c r="F385" s="5">
        <f>F386</f>
        <v>0</v>
      </c>
      <c r="G385" s="101">
        <f t="shared" si="29"/>
        <v>0</v>
      </c>
      <c r="H385" s="1"/>
      <c r="I385" s="1"/>
    </row>
    <row r="386" spans="1:9" ht="22.5">
      <c r="A386" s="76" t="s">
        <v>178</v>
      </c>
      <c r="B386" s="77" t="s">
        <v>350</v>
      </c>
      <c r="C386" s="77" t="s">
        <v>457</v>
      </c>
      <c r="D386" s="78">
        <v>600</v>
      </c>
      <c r="E386" s="5">
        <v>60000</v>
      </c>
      <c r="F386" s="5">
        <v>0</v>
      </c>
      <c r="G386" s="101">
        <f t="shared" si="29"/>
        <v>0</v>
      </c>
      <c r="H386" s="1"/>
      <c r="I386" s="1"/>
    </row>
    <row r="387" spans="1:9" ht="22.5">
      <c r="A387" s="76" t="s">
        <v>456</v>
      </c>
      <c r="B387" s="77" t="s">
        <v>350</v>
      </c>
      <c r="C387" s="77" t="s">
        <v>458</v>
      </c>
      <c r="D387" s="78"/>
      <c r="E387" s="5">
        <f>E388</f>
        <v>1140000</v>
      </c>
      <c r="F387" s="5">
        <f>F388</f>
        <v>0</v>
      </c>
      <c r="G387" s="101">
        <f t="shared" si="29"/>
        <v>0</v>
      </c>
      <c r="H387" s="1"/>
      <c r="I387" s="1"/>
    </row>
    <row r="388" spans="1:9" ht="22.5">
      <c r="A388" s="76" t="s">
        <v>178</v>
      </c>
      <c r="B388" s="77" t="s">
        <v>350</v>
      </c>
      <c r="C388" s="77" t="s">
        <v>458</v>
      </c>
      <c r="D388" s="78">
        <v>600</v>
      </c>
      <c r="E388" s="5">
        <v>1140000</v>
      </c>
      <c r="F388" s="5">
        <v>0</v>
      </c>
      <c r="G388" s="101">
        <f t="shared" si="29"/>
        <v>0</v>
      </c>
      <c r="H388" s="1"/>
      <c r="I388" s="1"/>
    </row>
    <row r="389" spans="1:9" ht="12.75">
      <c r="A389" s="37" t="s">
        <v>295</v>
      </c>
      <c r="B389" s="41" t="s">
        <v>350</v>
      </c>
      <c r="C389" s="38" t="s">
        <v>296</v>
      </c>
      <c r="D389" s="33"/>
      <c r="E389" s="6">
        <f>E390</f>
        <v>579000</v>
      </c>
      <c r="F389" s="6">
        <f>F390</f>
        <v>538925.26</v>
      </c>
      <c r="G389" s="101">
        <f t="shared" si="29"/>
        <v>0.930786286701209</v>
      </c>
      <c r="H389" s="1"/>
      <c r="I389" s="1"/>
    </row>
    <row r="390" spans="1:9" ht="33.75">
      <c r="A390" s="72" t="s">
        <v>351</v>
      </c>
      <c r="B390" s="9" t="s">
        <v>350</v>
      </c>
      <c r="C390" s="9" t="s">
        <v>352</v>
      </c>
      <c r="D390" s="33"/>
      <c r="E390" s="6">
        <f>E391</f>
        <v>579000</v>
      </c>
      <c r="F390" s="6">
        <f>F391</f>
        <v>538925.26</v>
      </c>
      <c r="G390" s="101">
        <f t="shared" si="29"/>
        <v>0.930786286701209</v>
      </c>
      <c r="H390" s="1"/>
      <c r="I390" s="1"/>
    </row>
    <row r="391" spans="1:9" ht="22.5">
      <c r="A391" s="66" t="s">
        <v>182</v>
      </c>
      <c r="B391" s="81" t="s">
        <v>350</v>
      </c>
      <c r="C391" s="9" t="s">
        <v>352</v>
      </c>
      <c r="D391" s="8" t="s">
        <v>179</v>
      </c>
      <c r="E391" s="6">
        <v>579000</v>
      </c>
      <c r="F391" s="6">
        <v>538925.26</v>
      </c>
      <c r="G391" s="101">
        <f t="shared" si="29"/>
        <v>0.930786286701209</v>
      </c>
      <c r="H391" s="1"/>
      <c r="I391" s="1"/>
    </row>
    <row r="392" spans="1:9" ht="22.5">
      <c r="A392" s="22" t="s">
        <v>353</v>
      </c>
      <c r="B392" s="81" t="s">
        <v>350</v>
      </c>
      <c r="C392" s="23" t="s">
        <v>354</v>
      </c>
      <c r="D392" s="23"/>
      <c r="E392" s="24">
        <f>E393</f>
        <v>30000</v>
      </c>
      <c r="F392" s="24">
        <f>F393</f>
        <v>28980</v>
      </c>
      <c r="G392" s="101">
        <f t="shared" si="29"/>
        <v>0.96599999999999997</v>
      </c>
      <c r="H392" s="1"/>
      <c r="I392" s="1"/>
    </row>
    <row r="393" spans="1:9" ht="12.75">
      <c r="A393" s="63" t="s">
        <v>355</v>
      </c>
      <c r="B393" s="81" t="s">
        <v>350</v>
      </c>
      <c r="C393" s="15" t="s">
        <v>356</v>
      </c>
      <c r="D393" s="15"/>
      <c r="E393" s="16">
        <f>E394</f>
        <v>30000</v>
      </c>
      <c r="F393" s="16">
        <f>F394</f>
        <v>28980</v>
      </c>
      <c r="G393" s="101">
        <f t="shared" si="29"/>
        <v>0.96599999999999997</v>
      </c>
      <c r="H393" s="1"/>
      <c r="I393" s="1"/>
    </row>
    <row r="394" spans="1:9" ht="22.5">
      <c r="A394" s="66" t="s">
        <v>182</v>
      </c>
      <c r="B394" s="81" t="s">
        <v>350</v>
      </c>
      <c r="C394" s="8" t="s">
        <v>356</v>
      </c>
      <c r="D394" s="8">
        <v>600</v>
      </c>
      <c r="E394" s="6">
        <v>30000</v>
      </c>
      <c r="F394" s="6">
        <v>28980</v>
      </c>
      <c r="G394" s="101">
        <f t="shared" si="29"/>
        <v>0.96599999999999997</v>
      </c>
      <c r="H394" s="1"/>
      <c r="I394" s="1"/>
    </row>
    <row r="395" spans="1:9" ht="12.75">
      <c r="A395" s="35" t="s">
        <v>172</v>
      </c>
      <c r="B395" s="40" t="s">
        <v>350</v>
      </c>
      <c r="C395" s="40" t="s">
        <v>173</v>
      </c>
      <c r="D395" s="36"/>
      <c r="E395" s="27">
        <f t="shared" ref="E395:F397" si="33">E396</f>
        <v>40000</v>
      </c>
      <c r="F395" s="27">
        <f t="shared" si="33"/>
        <v>40000</v>
      </c>
      <c r="G395" s="101">
        <f t="shared" si="29"/>
        <v>1</v>
      </c>
      <c r="H395" s="1"/>
      <c r="I395" s="1"/>
    </row>
    <row r="396" spans="1:9" ht="12.75">
      <c r="A396" s="37" t="s">
        <v>174</v>
      </c>
      <c r="B396" s="41" t="s">
        <v>350</v>
      </c>
      <c r="C396" s="41" t="s">
        <v>175</v>
      </c>
      <c r="D396" s="38"/>
      <c r="E396" s="29">
        <f t="shared" si="33"/>
        <v>40000</v>
      </c>
      <c r="F396" s="29">
        <f t="shared" si="33"/>
        <v>40000</v>
      </c>
      <c r="G396" s="101">
        <f t="shared" si="29"/>
        <v>1</v>
      </c>
      <c r="H396" s="1"/>
      <c r="I396" s="1"/>
    </row>
    <row r="397" spans="1:9" ht="42" customHeight="1">
      <c r="A397" s="7" t="s">
        <v>357</v>
      </c>
      <c r="B397" s="9" t="s">
        <v>350</v>
      </c>
      <c r="C397" s="9" t="s">
        <v>358</v>
      </c>
      <c r="D397" s="8"/>
      <c r="E397" s="6">
        <f t="shared" si="33"/>
        <v>40000</v>
      </c>
      <c r="F397" s="6">
        <f t="shared" si="33"/>
        <v>40000</v>
      </c>
      <c r="G397" s="101">
        <f t="shared" si="29"/>
        <v>1</v>
      </c>
      <c r="H397" s="1"/>
      <c r="I397" s="1"/>
    </row>
    <row r="398" spans="1:9" ht="12.75">
      <c r="A398" s="7" t="s">
        <v>106</v>
      </c>
      <c r="B398" s="9" t="s">
        <v>350</v>
      </c>
      <c r="C398" s="9" t="s">
        <v>358</v>
      </c>
      <c r="D398" s="8" t="s">
        <v>107</v>
      </c>
      <c r="E398" s="6">
        <f>70000-30000</f>
        <v>40000</v>
      </c>
      <c r="F398" s="6">
        <f>70000-30000</f>
        <v>40000</v>
      </c>
      <c r="G398" s="101">
        <f t="shared" si="29"/>
        <v>1</v>
      </c>
      <c r="H398" s="1"/>
      <c r="I398" s="1"/>
    </row>
    <row r="399" spans="1:9" ht="52.5">
      <c r="A399" s="17" t="s">
        <v>10</v>
      </c>
      <c r="B399" s="13" t="s">
        <v>350</v>
      </c>
      <c r="C399" s="13" t="s">
        <v>11</v>
      </c>
      <c r="D399" s="13"/>
      <c r="E399" s="18">
        <f>E400</f>
        <v>2546193.4500000002</v>
      </c>
      <c r="F399" s="18">
        <f>F400</f>
        <v>2545389.1</v>
      </c>
      <c r="G399" s="101">
        <f t="shared" si="29"/>
        <v>0.99968409705868966</v>
      </c>
      <c r="H399" s="1"/>
      <c r="I399" s="1"/>
    </row>
    <row r="400" spans="1:9" ht="22.5">
      <c r="A400" s="19" t="s">
        <v>12</v>
      </c>
      <c r="B400" s="20" t="s">
        <v>350</v>
      </c>
      <c r="C400" s="20" t="s">
        <v>13</v>
      </c>
      <c r="D400" s="20"/>
      <c r="E400" s="21">
        <f>E401</f>
        <v>2546193.4500000002</v>
      </c>
      <c r="F400" s="21">
        <f>F401</f>
        <v>2545389.1</v>
      </c>
      <c r="G400" s="101">
        <f t="shared" si="29"/>
        <v>0.99968409705868966</v>
      </c>
      <c r="H400" s="1"/>
      <c r="I400" s="1"/>
    </row>
    <row r="401" spans="1:9" ht="22.5">
      <c r="A401" s="22" t="s">
        <v>14</v>
      </c>
      <c r="B401" s="23" t="s">
        <v>350</v>
      </c>
      <c r="C401" s="23" t="s">
        <v>15</v>
      </c>
      <c r="D401" s="23"/>
      <c r="E401" s="24">
        <f>E402+E406</f>
        <v>2546193.4500000002</v>
      </c>
      <c r="F401" s="24">
        <f>F402+F406</f>
        <v>2545389.1</v>
      </c>
      <c r="G401" s="101">
        <f t="shared" si="29"/>
        <v>0.99968409705868966</v>
      </c>
      <c r="H401" s="1"/>
      <c r="I401" s="1"/>
    </row>
    <row r="402" spans="1:9" ht="22.5">
      <c r="A402" s="14" t="s">
        <v>16</v>
      </c>
      <c r="B402" s="15" t="s">
        <v>350</v>
      </c>
      <c r="C402" s="15" t="s">
        <v>17</v>
      </c>
      <c r="D402" s="15"/>
      <c r="E402" s="16">
        <f>E403+E404+E405</f>
        <v>2023988.45</v>
      </c>
      <c r="F402" s="16">
        <f>F403+F404+F405</f>
        <v>2023184.51</v>
      </c>
      <c r="G402" s="101">
        <f t="shared" si="29"/>
        <v>0.99960279417602416</v>
      </c>
      <c r="H402" s="1"/>
      <c r="I402" s="1"/>
    </row>
    <row r="403" spans="1:9" ht="33.75">
      <c r="A403" s="14" t="s">
        <v>18</v>
      </c>
      <c r="B403" s="15" t="s">
        <v>350</v>
      </c>
      <c r="C403" s="15" t="s">
        <v>17</v>
      </c>
      <c r="D403" s="15" t="s">
        <v>19</v>
      </c>
      <c r="E403" s="6">
        <f>1863380+108000-149712-28813</f>
        <v>1792855</v>
      </c>
      <c r="F403" s="6">
        <v>1792854.81</v>
      </c>
      <c r="G403" s="101">
        <f t="shared" si="29"/>
        <v>0.99999989402377776</v>
      </c>
      <c r="H403" s="1"/>
      <c r="I403" s="1"/>
    </row>
    <row r="404" spans="1:9" ht="22.5">
      <c r="A404" s="14" t="s">
        <v>26</v>
      </c>
      <c r="B404" s="15" t="s">
        <v>350</v>
      </c>
      <c r="C404" s="15" t="s">
        <v>17</v>
      </c>
      <c r="D404" s="15" t="s">
        <v>37</v>
      </c>
      <c r="E404" s="6">
        <f>212863.45-9.15+15000</f>
        <v>227854.30000000002</v>
      </c>
      <c r="F404" s="6">
        <v>227050.55</v>
      </c>
      <c r="G404" s="101">
        <f t="shared" si="29"/>
        <v>0.99647252652243112</v>
      </c>
      <c r="H404" s="1"/>
      <c r="I404" s="1"/>
    </row>
    <row r="405" spans="1:9" ht="12.75">
      <c r="A405" s="14" t="s">
        <v>38</v>
      </c>
      <c r="B405" s="15" t="s">
        <v>350</v>
      </c>
      <c r="C405" s="15" t="s">
        <v>17</v>
      </c>
      <c r="D405" s="15" t="s">
        <v>39</v>
      </c>
      <c r="E405" s="16">
        <f>3270+9.15</f>
        <v>3279.15</v>
      </c>
      <c r="F405" s="16">
        <v>3279.15</v>
      </c>
      <c r="G405" s="101">
        <f t="shared" si="29"/>
        <v>1</v>
      </c>
      <c r="H405" s="1"/>
      <c r="I405" s="1"/>
    </row>
    <row r="406" spans="1:9" ht="22.5">
      <c r="A406" s="14" t="s">
        <v>40</v>
      </c>
      <c r="B406" s="15" t="s">
        <v>350</v>
      </c>
      <c r="C406" s="25" t="s">
        <v>41</v>
      </c>
      <c r="D406" s="15"/>
      <c r="E406" s="16">
        <f>E407</f>
        <v>522205</v>
      </c>
      <c r="F406" s="16">
        <f>F407</f>
        <v>522204.59</v>
      </c>
      <c r="G406" s="101">
        <f t="shared" si="29"/>
        <v>0.99999921486772436</v>
      </c>
      <c r="H406" s="1"/>
      <c r="I406" s="1"/>
    </row>
    <row r="407" spans="1:9" ht="33.75">
      <c r="A407" s="14" t="s">
        <v>18</v>
      </c>
      <c r="B407" s="15" t="s">
        <v>350</v>
      </c>
      <c r="C407" s="25" t="s">
        <v>41</v>
      </c>
      <c r="D407" s="15">
        <v>100</v>
      </c>
      <c r="E407" s="16">
        <f>343680+149712+28813</f>
        <v>522205</v>
      </c>
      <c r="F407" s="16">
        <v>522204.59</v>
      </c>
      <c r="G407" s="101">
        <f t="shared" ref="G407:G468" si="34">F407/E407</f>
        <v>0.99999921486772436</v>
      </c>
      <c r="H407" s="1"/>
      <c r="I407" s="1"/>
    </row>
    <row r="408" spans="1:9" ht="12.75">
      <c r="A408" s="68" t="s">
        <v>359</v>
      </c>
      <c r="B408" s="15" t="s">
        <v>360</v>
      </c>
      <c r="C408" s="15"/>
      <c r="D408" s="15"/>
      <c r="E408" s="16">
        <f>E409+E447</f>
        <v>27758201.810000002</v>
      </c>
      <c r="F408" s="16">
        <f>F409+F447</f>
        <v>27691756.469999999</v>
      </c>
      <c r="G408" s="101">
        <f t="shared" si="34"/>
        <v>0.99760628082269842</v>
      </c>
      <c r="H408" s="1"/>
      <c r="I408" s="1"/>
    </row>
    <row r="409" spans="1:9" ht="12.75">
      <c r="A409" s="14" t="s">
        <v>361</v>
      </c>
      <c r="B409" s="15" t="s">
        <v>362</v>
      </c>
      <c r="C409" s="15"/>
      <c r="D409" s="15"/>
      <c r="E409" s="16">
        <f>E410+E442</f>
        <v>27728201.810000002</v>
      </c>
      <c r="F409" s="16">
        <f>F410+F442</f>
        <v>27661756.469999999</v>
      </c>
      <c r="G409" s="101">
        <f t="shared" si="34"/>
        <v>0.9976036909838113</v>
      </c>
      <c r="H409" s="1"/>
      <c r="I409" s="1"/>
    </row>
    <row r="410" spans="1:9" ht="21">
      <c r="A410" s="17" t="s">
        <v>220</v>
      </c>
      <c r="B410" s="13" t="s">
        <v>362</v>
      </c>
      <c r="C410" s="13" t="s">
        <v>221</v>
      </c>
      <c r="D410" s="13"/>
      <c r="E410" s="18">
        <f>E411</f>
        <v>27195351.470000003</v>
      </c>
      <c r="F410" s="18">
        <f>F411</f>
        <v>27128906.129999999</v>
      </c>
      <c r="G410" s="101">
        <f t="shared" si="34"/>
        <v>0.99755673905986098</v>
      </c>
      <c r="H410" s="1"/>
      <c r="I410" s="1"/>
    </row>
    <row r="411" spans="1:9" ht="12.75">
      <c r="A411" s="19" t="s">
        <v>343</v>
      </c>
      <c r="B411" s="20" t="s">
        <v>362</v>
      </c>
      <c r="C411" s="20" t="s">
        <v>344</v>
      </c>
      <c r="D411" s="20"/>
      <c r="E411" s="21">
        <f>E412+E417</f>
        <v>27195351.470000003</v>
      </c>
      <c r="F411" s="21">
        <f>F412+F417</f>
        <v>27128906.129999999</v>
      </c>
      <c r="G411" s="101">
        <f t="shared" si="34"/>
        <v>0.99755673905986098</v>
      </c>
      <c r="H411" s="1"/>
      <c r="I411" s="1"/>
    </row>
    <row r="412" spans="1:9" ht="12.75">
      <c r="A412" s="22" t="s">
        <v>363</v>
      </c>
      <c r="B412" s="23" t="s">
        <v>362</v>
      </c>
      <c r="C412" s="23" t="s">
        <v>364</v>
      </c>
      <c r="D412" s="23"/>
      <c r="E412" s="24">
        <f>E413+E415</f>
        <v>10254033.66</v>
      </c>
      <c r="F412" s="24">
        <f>F413+F415</f>
        <v>10254033.66</v>
      </c>
      <c r="G412" s="101">
        <f t="shared" si="34"/>
        <v>1</v>
      </c>
      <c r="H412" s="1"/>
      <c r="I412" s="1"/>
    </row>
    <row r="413" spans="1:9" ht="22.5">
      <c r="A413" s="73" t="s">
        <v>365</v>
      </c>
      <c r="B413" s="15" t="s">
        <v>362</v>
      </c>
      <c r="C413" s="15" t="s">
        <v>366</v>
      </c>
      <c r="D413" s="15"/>
      <c r="E413" s="16">
        <f>E414</f>
        <v>10238375.26</v>
      </c>
      <c r="F413" s="16">
        <f>F414</f>
        <v>10238375.26</v>
      </c>
      <c r="G413" s="101">
        <f t="shared" si="34"/>
        <v>1</v>
      </c>
      <c r="H413" s="1"/>
      <c r="I413" s="1"/>
    </row>
    <row r="414" spans="1:9" ht="22.5">
      <c r="A414" s="64" t="s">
        <v>178</v>
      </c>
      <c r="B414" s="65" t="s">
        <v>362</v>
      </c>
      <c r="C414" s="15" t="s">
        <v>366</v>
      </c>
      <c r="D414" s="15" t="s">
        <v>179</v>
      </c>
      <c r="E414" s="6">
        <f>9004200+680000+22500+492000+39675.26</f>
        <v>10238375.26</v>
      </c>
      <c r="F414" s="6">
        <f>9004200+680000+22500+492000+39675.26</f>
        <v>10238375.26</v>
      </c>
      <c r="G414" s="101">
        <f t="shared" si="34"/>
        <v>1</v>
      </c>
      <c r="H414" s="1"/>
      <c r="I414" s="1"/>
    </row>
    <row r="415" spans="1:9" ht="33.75">
      <c r="A415" s="79" t="s">
        <v>367</v>
      </c>
      <c r="B415" s="15" t="s">
        <v>362</v>
      </c>
      <c r="C415" s="15" t="s">
        <v>368</v>
      </c>
      <c r="D415" s="15"/>
      <c r="E415" s="16">
        <f>E416</f>
        <v>15658.400000000001</v>
      </c>
      <c r="F415" s="16">
        <f>F416</f>
        <v>15658.400000000001</v>
      </c>
      <c r="G415" s="101">
        <f t="shared" si="34"/>
        <v>1</v>
      </c>
      <c r="H415" s="1"/>
      <c r="I415" s="1"/>
    </row>
    <row r="416" spans="1:9" ht="22.5">
      <c r="A416" s="64" t="s">
        <v>178</v>
      </c>
      <c r="B416" s="65" t="s">
        <v>362</v>
      </c>
      <c r="C416" s="15" t="s">
        <v>368</v>
      </c>
      <c r="D416" s="15" t="s">
        <v>179</v>
      </c>
      <c r="E416" s="6">
        <f>32400-16741.6</f>
        <v>15658.400000000001</v>
      </c>
      <c r="F416" s="6">
        <f>32400-16741.6</f>
        <v>15658.400000000001</v>
      </c>
      <c r="G416" s="101">
        <f t="shared" si="34"/>
        <v>1</v>
      </c>
      <c r="H416" s="1"/>
      <c r="I416" s="1"/>
    </row>
    <row r="417" spans="1:9" ht="22.5">
      <c r="A417" s="90" t="s">
        <v>345</v>
      </c>
      <c r="B417" s="38" t="s">
        <v>362</v>
      </c>
      <c r="C417" s="38" t="s">
        <v>346</v>
      </c>
      <c r="D417" s="38"/>
      <c r="E417" s="29">
        <f>E426+E434+E418+E420+E422+E424+E428+E430+E432+E436+E438+E440</f>
        <v>16941317.810000002</v>
      </c>
      <c r="F417" s="29">
        <f>F426+F434+F418+F420+F422+F424+F428+F430+F432+F436+F438+F440</f>
        <v>16874872.469999999</v>
      </c>
      <c r="G417" s="101">
        <f t="shared" si="34"/>
        <v>0.99607791195790074</v>
      </c>
      <c r="H417" s="1"/>
      <c r="I417" s="1"/>
    </row>
    <row r="418" spans="1:9" ht="26.45" customHeight="1">
      <c r="A418" s="14" t="s">
        <v>369</v>
      </c>
      <c r="B418" s="15" t="s">
        <v>362</v>
      </c>
      <c r="C418" s="15" t="s">
        <v>370</v>
      </c>
      <c r="D418" s="15"/>
      <c r="E418" s="16">
        <f>E419</f>
        <v>2195490.2599999998</v>
      </c>
      <c r="F418" s="16">
        <f>F419</f>
        <v>2195490.2599999998</v>
      </c>
      <c r="G418" s="101">
        <f t="shared" si="34"/>
        <v>1</v>
      </c>
      <c r="H418" s="1"/>
      <c r="I418" s="1"/>
    </row>
    <row r="419" spans="1:9" ht="27" customHeight="1">
      <c r="A419" s="7" t="s">
        <v>178</v>
      </c>
      <c r="B419" s="15" t="s">
        <v>362</v>
      </c>
      <c r="C419" s="15" t="s">
        <v>370</v>
      </c>
      <c r="D419" s="15">
        <v>600</v>
      </c>
      <c r="E419" s="16">
        <v>2195490.2599999998</v>
      </c>
      <c r="F419" s="16">
        <v>2195490.2599999998</v>
      </c>
      <c r="G419" s="101">
        <f t="shared" si="34"/>
        <v>1</v>
      </c>
      <c r="H419" s="1"/>
      <c r="I419" s="1"/>
    </row>
    <row r="420" spans="1:9" ht="27" customHeight="1">
      <c r="A420" s="76" t="s">
        <v>479</v>
      </c>
      <c r="B420" s="62" t="s">
        <v>362</v>
      </c>
      <c r="C420" s="62" t="s">
        <v>482</v>
      </c>
      <c r="D420" s="62"/>
      <c r="E420" s="61">
        <f>E421</f>
        <v>15680</v>
      </c>
      <c r="F420" s="61">
        <f>F421</f>
        <v>15680</v>
      </c>
      <c r="G420" s="101">
        <f t="shared" si="34"/>
        <v>1</v>
      </c>
      <c r="H420" s="1"/>
      <c r="I420" s="1"/>
    </row>
    <row r="421" spans="1:9" ht="27" customHeight="1">
      <c r="A421" s="76" t="s">
        <v>178</v>
      </c>
      <c r="B421" s="62" t="s">
        <v>362</v>
      </c>
      <c r="C421" s="62" t="s">
        <v>482</v>
      </c>
      <c r="D421" s="62">
        <v>600</v>
      </c>
      <c r="E421" s="61">
        <v>15680</v>
      </c>
      <c r="F421" s="61">
        <v>15680</v>
      </c>
      <c r="G421" s="101">
        <f t="shared" si="34"/>
        <v>1</v>
      </c>
      <c r="H421" s="1"/>
      <c r="I421" s="1"/>
    </row>
    <row r="422" spans="1:9" ht="27" customHeight="1">
      <c r="A422" s="76" t="s">
        <v>480</v>
      </c>
      <c r="B422" s="62" t="s">
        <v>362</v>
      </c>
      <c r="C422" s="62" t="s">
        <v>483</v>
      </c>
      <c r="D422" s="62"/>
      <c r="E422" s="61">
        <f>E423</f>
        <v>20000</v>
      </c>
      <c r="F422" s="61">
        <f>F423</f>
        <v>20000</v>
      </c>
      <c r="G422" s="101">
        <f t="shared" si="34"/>
        <v>1</v>
      </c>
      <c r="H422" s="1"/>
      <c r="I422" s="1"/>
    </row>
    <row r="423" spans="1:9" ht="27" customHeight="1">
      <c r="A423" s="76" t="s">
        <v>178</v>
      </c>
      <c r="B423" s="62" t="s">
        <v>362</v>
      </c>
      <c r="C423" s="62" t="s">
        <v>483</v>
      </c>
      <c r="D423" s="62">
        <v>600</v>
      </c>
      <c r="E423" s="61">
        <v>20000</v>
      </c>
      <c r="F423" s="61">
        <v>20000</v>
      </c>
      <c r="G423" s="101">
        <f t="shared" si="34"/>
        <v>1</v>
      </c>
      <c r="H423" s="1"/>
      <c r="I423" s="1"/>
    </row>
    <row r="424" spans="1:9" ht="27" customHeight="1">
      <c r="A424" s="76" t="s">
        <v>481</v>
      </c>
      <c r="B424" s="62" t="s">
        <v>362</v>
      </c>
      <c r="C424" s="62" t="s">
        <v>484</v>
      </c>
      <c r="D424" s="62"/>
      <c r="E424" s="61">
        <f>E425</f>
        <v>75000</v>
      </c>
      <c r="F424" s="61">
        <f>F425</f>
        <v>75000</v>
      </c>
      <c r="G424" s="101">
        <f t="shared" si="34"/>
        <v>1</v>
      </c>
      <c r="H424" s="1"/>
      <c r="I424" s="1"/>
    </row>
    <row r="425" spans="1:9" ht="27" customHeight="1">
      <c r="A425" s="76" t="s">
        <v>178</v>
      </c>
      <c r="B425" s="62" t="s">
        <v>362</v>
      </c>
      <c r="C425" s="62" t="s">
        <v>484</v>
      </c>
      <c r="D425" s="62">
        <v>600</v>
      </c>
      <c r="E425" s="61">
        <v>75000</v>
      </c>
      <c r="F425" s="61">
        <v>75000</v>
      </c>
      <c r="G425" s="101">
        <f t="shared" si="34"/>
        <v>1</v>
      </c>
      <c r="H425" s="1"/>
      <c r="I425" s="1"/>
    </row>
    <row r="426" spans="1:9" ht="33.75">
      <c r="A426" s="79" t="s">
        <v>347</v>
      </c>
      <c r="B426" s="15" t="s">
        <v>362</v>
      </c>
      <c r="C426" s="9" t="s">
        <v>348</v>
      </c>
      <c r="D426" s="15"/>
      <c r="E426" s="16">
        <f>E427</f>
        <v>13176217.550000001</v>
      </c>
      <c r="F426" s="16">
        <f>F427</f>
        <v>13110217.550000001</v>
      </c>
      <c r="G426" s="101">
        <f t="shared" si="34"/>
        <v>0.99499097523628854</v>
      </c>
      <c r="H426" s="1"/>
      <c r="I426" s="1"/>
    </row>
    <row r="427" spans="1:9" ht="22.5">
      <c r="A427" s="64" t="s">
        <v>178</v>
      </c>
      <c r="B427" s="65" t="s">
        <v>362</v>
      </c>
      <c r="C427" s="9" t="s">
        <v>348</v>
      </c>
      <c r="D427" s="15" t="s">
        <v>179</v>
      </c>
      <c r="E427" s="6">
        <f>11321616+681000+56000+600000+413248.91-213000+317352.64</f>
        <v>13176217.550000001</v>
      </c>
      <c r="F427" s="6">
        <v>13110217.550000001</v>
      </c>
      <c r="G427" s="101">
        <f t="shared" si="34"/>
        <v>0.99499097523628854</v>
      </c>
      <c r="H427" s="1"/>
      <c r="I427" s="1"/>
    </row>
    <row r="428" spans="1:9" ht="22.5">
      <c r="A428" s="76" t="s">
        <v>473</v>
      </c>
      <c r="B428" s="62" t="s">
        <v>362</v>
      </c>
      <c r="C428" s="75" t="s">
        <v>476</v>
      </c>
      <c r="D428" s="62"/>
      <c r="E428" s="61">
        <f>E429</f>
        <v>10000</v>
      </c>
      <c r="F428" s="61">
        <f>F429</f>
        <v>10000</v>
      </c>
      <c r="G428" s="101">
        <f t="shared" si="34"/>
        <v>1</v>
      </c>
      <c r="H428" s="1"/>
      <c r="I428" s="1"/>
    </row>
    <row r="429" spans="1:9" ht="22.5">
      <c r="A429" s="76" t="s">
        <v>178</v>
      </c>
      <c r="B429" s="62" t="s">
        <v>362</v>
      </c>
      <c r="C429" s="75" t="s">
        <v>476</v>
      </c>
      <c r="D429" s="62">
        <v>600</v>
      </c>
      <c r="E429" s="61">
        <v>10000</v>
      </c>
      <c r="F429" s="61">
        <v>10000</v>
      </c>
      <c r="G429" s="101">
        <f t="shared" si="34"/>
        <v>1</v>
      </c>
      <c r="H429" s="1"/>
      <c r="I429" s="1"/>
    </row>
    <row r="430" spans="1:9" ht="33.75">
      <c r="A430" s="76" t="s">
        <v>474</v>
      </c>
      <c r="B430" s="62" t="s">
        <v>362</v>
      </c>
      <c r="C430" s="75" t="s">
        <v>477</v>
      </c>
      <c r="D430" s="62"/>
      <c r="E430" s="61">
        <f>E431</f>
        <v>9740</v>
      </c>
      <c r="F430" s="61">
        <f>F431</f>
        <v>9740</v>
      </c>
      <c r="G430" s="101">
        <f t="shared" si="34"/>
        <v>1</v>
      </c>
      <c r="H430" s="1"/>
      <c r="I430" s="1"/>
    </row>
    <row r="431" spans="1:9" ht="22.5">
      <c r="A431" s="76" t="s">
        <v>178</v>
      </c>
      <c r="B431" s="62" t="s">
        <v>362</v>
      </c>
      <c r="C431" s="75" t="s">
        <v>477</v>
      </c>
      <c r="D431" s="62">
        <v>600</v>
      </c>
      <c r="E431" s="61">
        <v>9740</v>
      </c>
      <c r="F431" s="61">
        <v>9740</v>
      </c>
      <c r="G431" s="101">
        <f t="shared" si="34"/>
        <v>1</v>
      </c>
      <c r="H431" s="1"/>
      <c r="I431" s="1"/>
    </row>
    <row r="432" spans="1:9" ht="22.5">
      <c r="A432" s="76" t="s">
        <v>475</v>
      </c>
      <c r="B432" s="62" t="s">
        <v>362</v>
      </c>
      <c r="C432" s="75" t="s">
        <v>478</v>
      </c>
      <c r="D432" s="62"/>
      <c r="E432" s="61">
        <f>E433</f>
        <v>17190</v>
      </c>
      <c r="F432" s="61">
        <f>F433</f>
        <v>17190</v>
      </c>
      <c r="G432" s="101">
        <f t="shared" si="34"/>
        <v>1</v>
      </c>
      <c r="H432" s="1"/>
      <c r="I432" s="1"/>
    </row>
    <row r="433" spans="1:9" ht="22.5">
      <c r="A433" s="76" t="s">
        <v>178</v>
      </c>
      <c r="B433" s="62" t="s">
        <v>362</v>
      </c>
      <c r="C433" s="75" t="s">
        <v>478</v>
      </c>
      <c r="D433" s="62">
        <v>600</v>
      </c>
      <c r="E433" s="61">
        <v>17190</v>
      </c>
      <c r="F433" s="61">
        <v>17190</v>
      </c>
      <c r="G433" s="101">
        <f t="shared" si="34"/>
        <v>1</v>
      </c>
      <c r="H433" s="1"/>
      <c r="I433" s="1"/>
    </row>
    <row r="434" spans="1:9" ht="33.75">
      <c r="A434" s="79" t="s">
        <v>371</v>
      </c>
      <c r="B434" s="15" t="s">
        <v>362</v>
      </c>
      <c r="C434" s="9" t="s">
        <v>372</v>
      </c>
      <c r="D434" s="15"/>
      <c r="E434" s="16">
        <f>E435</f>
        <v>12000</v>
      </c>
      <c r="F434" s="16">
        <f>F435</f>
        <v>11554.66</v>
      </c>
      <c r="G434" s="101">
        <f t="shared" si="34"/>
        <v>0.96288833333333335</v>
      </c>
      <c r="H434" s="1"/>
      <c r="I434" s="1"/>
    </row>
    <row r="435" spans="1:9" ht="22.5">
      <c r="A435" s="64" t="s">
        <v>178</v>
      </c>
      <c r="B435" s="65" t="s">
        <v>362</v>
      </c>
      <c r="C435" s="15" t="s">
        <v>372</v>
      </c>
      <c r="D435" s="15" t="s">
        <v>179</v>
      </c>
      <c r="E435" s="6">
        <v>12000</v>
      </c>
      <c r="F435" s="6">
        <v>11554.66</v>
      </c>
      <c r="G435" s="101">
        <f t="shared" si="34"/>
        <v>0.96288833333333335</v>
      </c>
      <c r="H435" s="1"/>
      <c r="I435" s="1"/>
    </row>
    <row r="436" spans="1:9" ht="12.75">
      <c r="A436" s="76" t="s">
        <v>467</v>
      </c>
      <c r="B436" s="62" t="s">
        <v>362</v>
      </c>
      <c r="C436" s="75" t="s">
        <v>470</v>
      </c>
      <c r="D436" s="62"/>
      <c r="E436" s="61">
        <f>E437</f>
        <v>430000</v>
      </c>
      <c r="F436" s="61">
        <f>F437</f>
        <v>430000</v>
      </c>
      <c r="G436" s="101">
        <f t="shared" si="34"/>
        <v>1</v>
      </c>
      <c r="H436" s="1"/>
      <c r="I436" s="1"/>
    </row>
    <row r="437" spans="1:9" ht="22.5">
      <c r="A437" s="76" t="s">
        <v>178</v>
      </c>
      <c r="B437" s="62" t="s">
        <v>362</v>
      </c>
      <c r="C437" s="75" t="s">
        <v>470</v>
      </c>
      <c r="D437" s="62">
        <v>600</v>
      </c>
      <c r="E437" s="61">
        <v>430000</v>
      </c>
      <c r="F437" s="61">
        <v>430000</v>
      </c>
      <c r="G437" s="101">
        <f t="shared" si="34"/>
        <v>1</v>
      </c>
      <c r="H437" s="1"/>
      <c r="I437" s="1"/>
    </row>
    <row r="438" spans="1:9" ht="22.5">
      <c r="A438" s="76" t="s">
        <v>468</v>
      </c>
      <c r="B438" s="62" t="s">
        <v>362</v>
      </c>
      <c r="C438" s="75" t="s">
        <v>471</v>
      </c>
      <c r="D438" s="62"/>
      <c r="E438" s="61">
        <f>E439</f>
        <v>480000</v>
      </c>
      <c r="F438" s="61">
        <f>F439</f>
        <v>480000</v>
      </c>
      <c r="G438" s="101">
        <f t="shared" si="34"/>
        <v>1</v>
      </c>
      <c r="H438" s="1"/>
      <c r="I438" s="1"/>
    </row>
    <row r="439" spans="1:9" ht="22.5">
      <c r="A439" s="76" t="s">
        <v>178</v>
      </c>
      <c r="B439" s="62" t="s">
        <v>362</v>
      </c>
      <c r="C439" s="75" t="s">
        <v>471</v>
      </c>
      <c r="D439" s="62">
        <v>600</v>
      </c>
      <c r="E439" s="61">
        <v>480000</v>
      </c>
      <c r="F439" s="61">
        <v>480000</v>
      </c>
      <c r="G439" s="101">
        <f t="shared" si="34"/>
        <v>1</v>
      </c>
      <c r="H439" s="1"/>
      <c r="I439" s="1"/>
    </row>
    <row r="440" spans="1:9" ht="12.75">
      <c r="A440" s="76" t="s">
        <v>469</v>
      </c>
      <c r="B440" s="62" t="s">
        <v>362</v>
      </c>
      <c r="C440" s="75" t="s">
        <v>472</v>
      </c>
      <c r="D440" s="62"/>
      <c r="E440" s="61">
        <f>E441</f>
        <v>500000</v>
      </c>
      <c r="F440" s="61">
        <f>F441</f>
        <v>500000</v>
      </c>
      <c r="G440" s="101">
        <f t="shared" si="34"/>
        <v>1</v>
      </c>
      <c r="H440" s="1"/>
      <c r="I440" s="1"/>
    </row>
    <row r="441" spans="1:9" ht="22.5">
      <c r="A441" s="76" t="s">
        <v>178</v>
      </c>
      <c r="B441" s="62" t="s">
        <v>362</v>
      </c>
      <c r="C441" s="75" t="s">
        <v>472</v>
      </c>
      <c r="D441" s="62">
        <v>600</v>
      </c>
      <c r="E441" s="61">
        <v>500000</v>
      </c>
      <c r="F441" s="61">
        <v>500000</v>
      </c>
      <c r="G441" s="101">
        <f t="shared" si="34"/>
        <v>1</v>
      </c>
      <c r="H441" s="1"/>
      <c r="I441" s="1"/>
    </row>
    <row r="442" spans="1:9" ht="21">
      <c r="A442" s="17" t="s">
        <v>29</v>
      </c>
      <c r="B442" s="13" t="s">
        <v>362</v>
      </c>
      <c r="C442" s="13" t="s">
        <v>30</v>
      </c>
      <c r="D442" s="13"/>
      <c r="E442" s="18">
        <f t="shared" ref="E442:F445" si="35">E443</f>
        <v>532850.34</v>
      </c>
      <c r="F442" s="18">
        <f t="shared" si="35"/>
        <v>532850.34</v>
      </c>
      <c r="G442" s="101">
        <f t="shared" si="34"/>
        <v>1</v>
      </c>
      <c r="H442" s="1"/>
      <c r="I442" s="1"/>
    </row>
    <row r="443" spans="1:9" ht="22.5">
      <c r="A443" s="19" t="s">
        <v>31</v>
      </c>
      <c r="B443" s="20" t="s">
        <v>362</v>
      </c>
      <c r="C443" s="20" t="s">
        <v>32</v>
      </c>
      <c r="D443" s="20"/>
      <c r="E443" s="21">
        <f t="shared" si="35"/>
        <v>532850.34</v>
      </c>
      <c r="F443" s="21">
        <f t="shared" si="35"/>
        <v>532850.34</v>
      </c>
      <c r="G443" s="101">
        <f t="shared" si="34"/>
        <v>1</v>
      </c>
      <c r="H443" s="1"/>
      <c r="I443" s="1"/>
    </row>
    <row r="444" spans="1:9" ht="22.5">
      <c r="A444" s="22" t="s">
        <v>33</v>
      </c>
      <c r="B444" s="23" t="s">
        <v>362</v>
      </c>
      <c r="C444" s="23" t="s">
        <v>34</v>
      </c>
      <c r="D444" s="23"/>
      <c r="E444" s="24">
        <f t="shared" si="35"/>
        <v>532850.34</v>
      </c>
      <c r="F444" s="24">
        <f t="shared" si="35"/>
        <v>532850.34</v>
      </c>
      <c r="G444" s="101">
        <f t="shared" si="34"/>
        <v>1</v>
      </c>
      <c r="H444" s="1"/>
      <c r="I444" s="1"/>
    </row>
    <row r="445" spans="1:9" ht="24" customHeight="1">
      <c r="A445" s="63" t="s">
        <v>292</v>
      </c>
      <c r="B445" s="15" t="s">
        <v>362</v>
      </c>
      <c r="C445" s="15" t="s">
        <v>36</v>
      </c>
      <c r="D445" s="15"/>
      <c r="E445" s="16">
        <f t="shared" si="35"/>
        <v>532850.34</v>
      </c>
      <c r="F445" s="16">
        <f t="shared" si="35"/>
        <v>532850.34</v>
      </c>
      <c r="G445" s="101">
        <f t="shared" si="34"/>
        <v>1</v>
      </c>
      <c r="H445" s="1"/>
      <c r="I445" s="1"/>
    </row>
    <row r="446" spans="1:9" s="10" customFormat="1" ht="21.75" customHeight="1">
      <c r="A446" s="64" t="s">
        <v>178</v>
      </c>
      <c r="B446" s="65" t="s">
        <v>362</v>
      </c>
      <c r="C446" s="15" t="s">
        <v>36</v>
      </c>
      <c r="D446" s="15" t="s">
        <v>179</v>
      </c>
      <c r="E446" s="6">
        <v>532850.34</v>
      </c>
      <c r="F446" s="6">
        <v>532850.34</v>
      </c>
      <c r="G446" s="101">
        <f t="shared" si="34"/>
        <v>1</v>
      </c>
      <c r="H446" s="102"/>
      <c r="I446" s="102"/>
    </row>
    <row r="447" spans="1:9" ht="12.75">
      <c r="A447" s="68" t="s">
        <v>373</v>
      </c>
      <c r="B447" s="15" t="s">
        <v>374</v>
      </c>
      <c r="C447" s="15"/>
      <c r="D447" s="15"/>
      <c r="E447" s="16">
        <f t="shared" ref="E447:F451" si="36">E448</f>
        <v>30000</v>
      </c>
      <c r="F447" s="16">
        <f t="shared" si="36"/>
        <v>30000</v>
      </c>
      <c r="G447" s="101">
        <f t="shared" si="34"/>
        <v>1</v>
      </c>
      <c r="H447" s="1"/>
      <c r="I447" s="1"/>
    </row>
    <row r="448" spans="1:9" ht="21">
      <c r="A448" s="17" t="s">
        <v>220</v>
      </c>
      <c r="B448" s="13" t="s">
        <v>374</v>
      </c>
      <c r="C448" s="13" t="s">
        <v>221</v>
      </c>
      <c r="D448" s="13"/>
      <c r="E448" s="18">
        <f t="shared" si="36"/>
        <v>30000</v>
      </c>
      <c r="F448" s="18">
        <f t="shared" si="36"/>
        <v>30000</v>
      </c>
      <c r="G448" s="101">
        <f t="shared" si="34"/>
        <v>1</v>
      </c>
      <c r="H448" s="1"/>
      <c r="I448" s="1"/>
    </row>
    <row r="449" spans="1:9" ht="12.75">
      <c r="A449" s="69" t="s">
        <v>222</v>
      </c>
      <c r="B449" s="26" t="s">
        <v>374</v>
      </c>
      <c r="C449" s="26" t="s">
        <v>224</v>
      </c>
      <c r="D449" s="15"/>
      <c r="E449" s="21">
        <f t="shared" si="36"/>
        <v>30000</v>
      </c>
      <c r="F449" s="21">
        <f t="shared" si="36"/>
        <v>30000</v>
      </c>
      <c r="G449" s="101">
        <f t="shared" si="34"/>
        <v>1</v>
      </c>
      <c r="H449" s="1"/>
      <c r="I449" s="1"/>
    </row>
    <row r="450" spans="1:9" ht="22.5">
      <c r="A450" s="70" t="s">
        <v>225</v>
      </c>
      <c r="B450" s="28" t="s">
        <v>374</v>
      </c>
      <c r="C450" s="28" t="s">
        <v>227</v>
      </c>
      <c r="D450" s="15"/>
      <c r="E450" s="16">
        <f t="shared" si="36"/>
        <v>30000</v>
      </c>
      <c r="F450" s="16">
        <f t="shared" si="36"/>
        <v>30000</v>
      </c>
      <c r="G450" s="101">
        <f t="shared" si="34"/>
        <v>1</v>
      </c>
      <c r="H450" s="1"/>
      <c r="I450" s="1"/>
    </row>
    <row r="451" spans="1:9" ht="12.75">
      <c r="A451" s="63" t="s">
        <v>375</v>
      </c>
      <c r="B451" s="15" t="s">
        <v>374</v>
      </c>
      <c r="C451" s="15" t="s">
        <v>376</v>
      </c>
      <c r="D451" s="15"/>
      <c r="E451" s="16">
        <f t="shared" si="36"/>
        <v>30000</v>
      </c>
      <c r="F451" s="16">
        <f t="shared" si="36"/>
        <v>30000</v>
      </c>
      <c r="G451" s="101">
        <f t="shared" si="34"/>
        <v>1</v>
      </c>
      <c r="H451" s="1"/>
      <c r="I451" s="1"/>
    </row>
    <row r="452" spans="1:9" ht="22.5">
      <c r="A452" s="64" t="s">
        <v>178</v>
      </c>
      <c r="B452" s="65" t="s">
        <v>374</v>
      </c>
      <c r="C452" s="15" t="s">
        <v>376</v>
      </c>
      <c r="D452" s="15" t="s">
        <v>179</v>
      </c>
      <c r="E452" s="6">
        <v>30000</v>
      </c>
      <c r="F452" s="6">
        <v>30000</v>
      </c>
      <c r="G452" s="101">
        <f t="shared" si="34"/>
        <v>1</v>
      </c>
      <c r="H452" s="1"/>
      <c r="I452" s="1"/>
    </row>
    <row r="453" spans="1:9" ht="12.75">
      <c r="A453" s="68" t="s">
        <v>377</v>
      </c>
      <c r="B453" s="15" t="s">
        <v>378</v>
      </c>
      <c r="C453" s="15"/>
      <c r="D453" s="15"/>
      <c r="E453" s="16">
        <f>E454+E462+E475</f>
        <v>6812364.5</v>
      </c>
      <c r="F453" s="16">
        <f>F454+F462+F475</f>
        <v>6794271.4800000004</v>
      </c>
      <c r="G453" s="101">
        <f t="shared" si="34"/>
        <v>0.99734409102742527</v>
      </c>
      <c r="H453" s="1"/>
      <c r="I453" s="1"/>
    </row>
    <row r="454" spans="1:9" ht="12.75">
      <c r="A454" s="14" t="s">
        <v>379</v>
      </c>
      <c r="B454" s="15" t="s">
        <v>380</v>
      </c>
      <c r="C454" s="15"/>
      <c r="D454" s="15"/>
      <c r="E454" s="16">
        <f t="shared" ref="E454:F456" si="37">E455</f>
        <v>1625560.5</v>
      </c>
      <c r="F454" s="16">
        <f t="shared" si="37"/>
        <v>1625560.5</v>
      </c>
      <c r="G454" s="101">
        <f t="shared" si="34"/>
        <v>1</v>
      </c>
      <c r="H454" s="1"/>
      <c r="I454" s="1"/>
    </row>
    <row r="455" spans="1:9" ht="52.5">
      <c r="A455" s="17" t="s">
        <v>10</v>
      </c>
      <c r="B455" s="13" t="s">
        <v>380</v>
      </c>
      <c r="C455" s="13" t="s">
        <v>11</v>
      </c>
      <c r="D455" s="13"/>
      <c r="E455" s="18">
        <f t="shared" si="37"/>
        <v>1625560.5</v>
      </c>
      <c r="F455" s="18">
        <f t="shared" si="37"/>
        <v>1625560.5</v>
      </c>
      <c r="G455" s="101">
        <f t="shared" si="34"/>
        <v>1</v>
      </c>
      <c r="H455" s="1"/>
      <c r="I455" s="1"/>
    </row>
    <row r="456" spans="1:9" ht="22.5">
      <c r="A456" s="19" t="s">
        <v>381</v>
      </c>
      <c r="B456" s="20" t="s">
        <v>380</v>
      </c>
      <c r="C456" s="20" t="s">
        <v>382</v>
      </c>
      <c r="D456" s="20"/>
      <c r="E456" s="21">
        <f t="shared" si="37"/>
        <v>1625560.5</v>
      </c>
      <c r="F456" s="21">
        <f t="shared" si="37"/>
        <v>1625560.5</v>
      </c>
      <c r="G456" s="101">
        <f t="shared" si="34"/>
        <v>1</v>
      </c>
      <c r="H456" s="1"/>
      <c r="I456" s="1"/>
    </row>
    <row r="457" spans="1:9" ht="22.5">
      <c r="A457" s="22" t="s">
        <v>383</v>
      </c>
      <c r="B457" s="23" t="s">
        <v>380</v>
      </c>
      <c r="C457" s="23" t="s">
        <v>384</v>
      </c>
      <c r="D457" s="23"/>
      <c r="E457" s="24">
        <f>E458+E460</f>
        <v>1625560.5</v>
      </c>
      <c r="F457" s="24">
        <f>F458+F460</f>
        <v>1625560.5</v>
      </c>
      <c r="G457" s="101">
        <f t="shared" si="34"/>
        <v>1</v>
      </c>
      <c r="H457" s="1"/>
      <c r="I457" s="1"/>
    </row>
    <row r="458" spans="1:9" ht="12.75">
      <c r="A458" s="14" t="s">
        <v>385</v>
      </c>
      <c r="B458" s="15" t="s">
        <v>380</v>
      </c>
      <c r="C458" s="15" t="s">
        <v>386</v>
      </c>
      <c r="D458" s="15"/>
      <c r="E458" s="16">
        <f>E459</f>
        <v>1572760.5</v>
      </c>
      <c r="F458" s="16">
        <f>F459</f>
        <v>1572760.5</v>
      </c>
      <c r="G458" s="101">
        <f t="shared" si="34"/>
        <v>1</v>
      </c>
      <c r="H458" s="1"/>
      <c r="I458" s="1"/>
    </row>
    <row r="459" spans="1:9" ht="12.75">
      <c r="A459" s="7" t="s">
        <v>106</v>
      </c>
      <c r="B459" s="8" t="s">
        <v>380</v>
      </c>
      <c r="C459" s="8" t="s">
        <v>386</v>
      </c>
      <c r="D459" s="8" t="s">
        <v>107</v>
      </c>
      <c r="E459" s="6">
        <f>1627000-54239.5</f>
        <v>1572760.5</v>
      </c>
      <c r="F459" s="6">
        <f>1627000-54239.5</f>
        <v>1572760.5</v>
      </c>
      <c r="G459" s="101">
        <f t="shared" si="34"/>
        <v>1</v>
      </c>
      <c r="H459" s="1"/>
      <c r="I459" s="1"/>
    </row>
    <row r="460" spans="1:9" ht="45">
      <c r="A460" s="14" t="s">
        <v>387</v>
      </c>
      <c r="B460" s="15" t="s">
        <v>380</v>
      </c>
      <c r="C460" s="15" t="s">
        <v>388</v>
      </c>
      <c r="D460" s="15"/>
      <c r="E460" s="16">
        <f>E461</f>
        <v>52800</v>
      </c>
      <c r="F460" s="16">
        <f>F461</f>
        <v>52800</v>
      </c>
      <c r="G460" s="101">
        <f t="shared" si="34"/>
        <v>1</v>
      </c>
      <c r="H460" s="1"/>
      <c r="I460" s="1"/>
    </row>
    <row r="461" spans="1:9" ht="12.75">
      <c r="A461" s="14" t="s">
        <v>106</v>
      </c>
      <c r="B461" s="15" t="s">
        <v>380</v>
      </c>
      <c r="C461" s="25" t="s">
        <v>388</v>
      </c>
      <c r="D461" s="15" t="s">
        <v>107</v>
      </c>
      <c r="E461" s="16">
        <v>52800</v>
      </c>
      <c r="F461" s="16">
        <v>52800</v>
      </c>
      <c r="G461" s="101">
        <f t="shared" si="34"/>
        <v>1</v>
      </c>
      <c r="H461" s="1"/>
      <c r="I461" s="1"/>
    </row>
    <row r="462" spans="1:9" ht="12.75">
      <c r="A462" s="14" t="s">
        <v>389</v>
      </c>
      <c r="B462" s="15" t="s">
        <v>390</v>
      </c>
      <c r="C462" s="15"/>
      <c r="D462" s="15"/>
      <c r="E462" s="16">
        <f>E463</f>
        <v>4859304</v>
      </c>
      <c r="F462" s="16">
        <f>F463</f>
        <v>4846210.9800000004</v>
      </c>
      <c r="G462" s="101">
        <f t="shared" si="34"/>
        <v>0.99730557709499146</v>
      </c>
      <c r="H462" s="1"/>
      <c r="I462" s="1"/>
    </row>
    <row r="463" spans="1:9" ht="31.5">
      <c r="A463" s="17" t="s">
        <v>67</v>
      </c>
      <c r="B463" s="13" t="s">
        <v>390</v>
      </c>
      <c r="C463" s="13" t="s">
        <v>68</v>
      </c>
      <c r="D463" s="13"/>
      <c r="E463" s="18">
        <f>E464</f>
        <v>4859304</v>
      </c>
      <c r="F463" s="18">
        <f>F464</f>
        <v>4846210.9800000004</v>
      </c>
      <c r="G463" s="101">
        <f t="shared" si="34"/>
        <v>0.99730557709499146</v>
      </c>
      <c r="H463" s="1"/>
      <c r="I463" s="1"/>
    </row>
    <row r="464" spans="1:9" ht="22.5">
      <c r="A464" s="19" t="s">
        <v>278</v>
      </c>
      <c r="B464" s="20" t="s">
        <v>390</v>
      </c>
      <c r="C464" s="20" t="s">
        <v>279</v>
      </c>
      <c r="D464" s="20"/>
      <c r="E464" s="21">
        <f>E465+E471+E468</f>
        <v>4859304</v>
      </c>
      <c r="F464" s="21">
        <f>F465+F471+F468</f>
        <v>4846210.9800000004</v>
      </c>
      <c r="G464" s="101">
        <f t="shared" si="34"/>
        <v>0.99730557709499146</v>
      </c>
      <c r="H464" s="1"/>
      <c r="I464" s="1"/>
    </row>
    <row r="465" spans="1:9" ht="12.75">
      <c r="A465" s="22" t="s">
        <v>280</v>
      </c>
      <c r="B465" s="23" t="s">
        <v>390</v>
      </c>
      <c r="C465" s="23" t="s">
        <v>281</v>
      </c>
      <c r="D465" s="23"/>
      <c r="E465" s="24">
        <f>E466</f>
        <v>2484000</v>
      </c>
      <c r="F465" s="24">
        <f>F466</f>
        <v>2473846.98</v>
      </c>
      <c r="G465" s="101">
        <f t="shared" si="34"/>
        <v>0.99591263285024156</v>
      </c>
      <c r="H465" s="1"/>
      <c r="I465" s="1"/>
    </row>
    <row r="466" spans="1:9" ht="33.75">
      <c r="A466" s="14" t="s">
        <v>391</v>
      </c>
      <c r="B466" s="15" t="s">
        <v>390</v>
      </c>
      <c r="C466" s="15" t="s">
        <v>392</v>
      </c>
      <c r="D466" s="15"/>
      <c r="E466" s="16">
        <f>E467</f>
        <v>2484000</v>
      </c>
      <c r="F466" s="16">
        <f>F467</f>
        <v>2473846.98</v>
      </c>
      <c r="G466" s="101">
        <f t="shared" si="34"/>
        <v>0.99591263285024156</v>
      </c>
      <c r="H466" s="1"/>
      <c r="I466" s="1"/>
    </row>
    <row r="467" spans="1:9" ht="12.75">
      <c r="A467" s="14" t="s">
        <v>106</v>
      </c>
      <c r="B467" s="15" t="s">
        <v>390</v>
      </c>
      <c r="C467" s="15" t="s">
        <v>392</v>
      </c>
      <c r="D467" s="15" t="s">
        <v>107</v>
      </c>
      <c r="E467" s="16">
        <f>2957000-51000-422000</f>
        <v>2484000</v>
      </c>
      <c r="F467" s="16">
        <v>2473846.98</v>
      </c>
      <c r="G467" s="101">
        <f t="shared" si="34"/>
        <v>0.99591263285024156</v>
      </c>
      <c r="H467" s="1"/>
      <c r="I467" s="1"/>
    </row>
    <row r="468" spans="1:9" ht="12.75">
      <c r="A468" s="22" t="s">
        <v>295</v>
      </c>
      <c r="B468" s="23">
        <v>1004</v>
      </c>
      <c r="C468" s="28" t="s">
        <v>296</v>
      </c>
      <c r="D468" s="15"/>
      <c r="E468" s="29">
        <f>E469</f>
        <v>15210</v>
      </c>
      <c r="F468" s="29">
        <f>F469</f>
        <v>12270</v>
      </c>
      <c r="G468" s="101">
        <f t="shared" si="34"/>
        <v>0.8067061143984221</v>
      </c>
      <c r="H468" s="1"/>
      <c r="I468" s="1"/>
    </row>
    <row r="469" spans="1:9" ht="33.75">
      <c r="A469" s="14" t="s">
        <v>305</v>
      </c>
      <c r="B469" s="15">
        <v>1004</v>
      </c>
      <c r="C469" s="25" t="s">
        <v>306</v>
      </c>
      <c r="D469" s="15"/>
      <c r="E469" s="16">
        <f>E470</f>
        <v>15210</v>
      </c>
      <c r="F469" s="16">
        <f>F470</f>
        <v>12270</v>
      </c>
      <c r="G469" s="101">
        <f t="shared" ref="G469:G528" si="38">F469/E469</f>
        <v>0.8067061143984221</v>
      </c>
      <c r="H469" s="1"/>
      <c r="I469" s="1"/>
    </row>
    <row r="470" spans="1:9" ht="22.5">
      <c r="A470" s="7" t="s">
        <v>178</v>
      </c>
      <c r="B470" s="15">
        <v>1004</v>
      </c>
      <c r="C470" s="25" t="s">
        <v>306</v>
      </c>
      <c r="D470" s="15">
        <v>600</v>
      </c>
      <c r="E470" s="16">
        <v>15210</v>
      </c>
      <c r="F470" s="16">
        <v>12270</v>
      </c>
      <c r="G470" s="101">
        <f t="shared" si="38"/>
        <v>0.8067061143984221</v>
      </c>
      <c r="H470" s="1"/>
      <c r="I470" s="1"/>
    </row>
    <row r="471" spans="1:9" ht="22.5">
      <c r="A471" s="86" t="s">
        <v>69</v>
      </c>
      <c r="B471" s="20" t="s">
        <v>390</v>
      </c>
      <c r="C471" s="20" t="s">
        <v>70</v>
      </c>
      <c r="D471" s="20"/>
      <c r="E471" s="21">
        <f t="shared" ref="E471:F473" si="39">E472</f>
        <v>2360094</v>
      </c>
      <c r="F471" s="21">
        <f t="shared" si="39"/>
        <v>2360094</v>
      </c>
      <c r="G471" s="101">
        <f t="shared" si="38"/>
        <v>1</v>
      </c>
      <c r="H471" s="1"/>
      <c r="I471" s="1"/>
    </row>
    <row r="472" spans="1:9" ht="22.5">
      <c r="A472" s="22" t="s">
        <v>393</v>
      </c>
      <c r="B472" s="23" t="s">
        <v>390</v>
      </c>
      <c r="C472" s="23" t="s">
        <v>394</v>
      </c>
      <c r="D472" s="23"/>
      <c r="E472" s="24">
        <f t="shared" si="39"/>
        <v>2360094</v>
      </c>
      <c r="F472" s="24">
        <f t="shared" si="39"/>
        <v>2360094</v>
      </c>
      <c r="G472" s="101">
        <f t="shared" si="38"/>
        <v>1</v>
      </c>
      <c r="H472" s="1"/>
      <c r="I472" s="1"/>
    </row>
    <row r="473" spans="1:9" ht="33.75">
      <c r="A473" s="7" t="s">
        <v>395</v>
      </c>
      <c r="B473" s="8" t="s">
        <v>390</v>
      </c>
      <c r="C473" s="8" t="s">
        <v>396</v>
      </c>
      <c r="D473" s="8"/>
      <c r="E473" s="61">
        <f t="shared" si="39"/>
        <v>2360094</v>
      </c>
      <c r="F473" s="61">
        <f t="shared" si="39"/>
        <v>2360094</v>
      </c>
      <c r="G473" s="101">
        <f t="shared" si="38"/>
        <v>1</v>
      </c>
      <c r="H473" s="1"/>
      <c r="I473" s="1"/>
    </row>
    <row r="474" spans="1:9" ht="22.5">
      <c r="A474" s="7" t="s">
        <v>258</v>
      </c>
      <c r="B474" s="8" t="s">
        <v>390</v>
      </c>
      <c r="C474" s="8" t="s">
        <v>396</v>
      </c>
      <c r="D474" s="8" t="s">
        <v>397</v>
      </c>
      <c r="E474" s="61">
        <f>1131372+1228722</f>
        <v>2360094</v>
      </c>
      <c r="F474" s="61">
        <f>1131372+1228722</f>
        <v>2360094</v>
      </c>
      <c r="G474" s="101">
        <f t="shared" si="38"/>
        <v>1</v>
      </c>
      <c r="H474" s="1"/>
      <c r="I474" s="1"/>
    </row>
    <row r="475" spans="1:9" ht="12.75">
      <c r="A475" s="14" t="s">
        <v>398</v>
      </c>
      <c r="B475" s="15">
        <v>1006</v>
      </c>
      <c r="C475" s="15"/>
      <c r="D475" s="15"/>
      <c r="E475" s="16">
        <f>E486+E476+E481</f>
        <v>327500</v>
      </c>
      <c r="F475" s="16">
        <f>F486+F476+F481</f>
        <v>322500</v>
      </c>
      <c r="G475" s="101">
        <f t="shared" si="38"/>
        <v>0.98473282442748089</v>
      </c>
      <c r="H475" s="1"/>
      <c r="I475" s="1"/>
    </row>
    <row r="476" spans="1:9" ht="31.5">
      <c r="A476" s="17" t="s">
        <v>75</v>
      </c>
      <c r="B476" s="13" t="s">
        <v>399</v>
      </c>
      <c r="C476" s="13" t="s">
        <v>76</v>
      </c>
      <c r="D476" s="13"/>
      <c r="E476" s="18">
        <f t="shared" ref="E476:F479" si="40">E477</f>
        <v>20000</v>
      </c>
      <c r="F476" s="18">
        <f t="shared" si="40"/>
        <v>20000</v>
      </c>
      <c r="G476" s="101">
        <f t="shared" si="38"/>
        <v>1</v>
      </c>
      <c r="H476" s="1"/>
      <c r="I476" s="1"/>
    </row>
    <row r="477" spans="1:9" ht="33.75">
      <c r="A477" s="19" t="s">
        <v>233</v>
      </c>
      <c r="B477" s="20" t="s">
        <v>399</v>
      </c>
      <c r="C477" s="20" t="s">
        <v>234</v>
      </c>
      <c r="D477" s="20"/>
      <c r="E477" s="21">
        <f t="shared" si="40"/>
        <v>20000</v>
      </c>
      <c r="F477" s="21">
        <f t="shared" si="40"/>
        <v>20000</v>
      </c>
      <c r="G477" s="101">
        <f t="shared" si="38"/>
        <v>1</v>
      </c>
      <c r="H477" s="1"/>
      <c r="I477" s="1"/>
    </row>
    <row r="478" spans="1:9" ht="33.75">
      <c r="A478" s="22" t="s">
        <v>400</v>
      </c>
      <c r="B478" s="23" t="s">
        <v>399</v>
      </c>
      <c r="C478" s="23" t="s">
        <v>236</v>
      </c>
      <c r="D478" s="23"/>
      <c r="E478" s="24">
        <f t="shared" si="40"/>
        <v>20000</v>
      </c>
      <c r="F478" s="24">
        <f t="shared" si="40"/>
        <v>20000</v>
      </c>
      <c r="G478" s="101">
        <f t="shared" si="38"/>
        <v>1</v>
      </c>
      <c r="H478" s="1"/>
      <c r="I478" s="1"/>
    </row>
    <row r="479" spans="1:9" ht="22.5">
      <c r="A479" s="72" t="s">
        <v>401</v>
      </c>
      <c r="B479" s="15" t="s">
        <v>399</v>
      </c>
      <c r="C479" s="9" t="s">
        <v>402</v>
      </c>
      <c r="D479" s="8"/>
      <c r="E479" s="6">
        <f t="shared" si="40"/>
        <v>20000</v>
      </c>
      <c r="F479" s="6">
        <f t="shared" si="40"/>
        <v>20000</v>
      </c>
      <c r="G479" s="101">
        <f t="shared" si="38"/>
        <v>1</v>
      </c>
      <c r="H479" s="1"/>
      <c r="I479" s="1"/>
    </row>
    <row r="480" spans="1:9" ht="22.5">
      <c r="A480" s="66" t="s">
        <v>182</v>
      </c>
      <c r="B480" s="65" t="s">
        <v>399</v>
      </c>
      <c r="C480" s="9" t="s">
        <v>402</v>
      </c>
      <c r="D480" s="8">
        <v>600</v>
      </c>
      <c r="E480" s="6">
        <v>20000</v>
      </c>
      <c r="F480" s="6">
        <v>20000</v>
      </c>
      <c r="G480" s="101">
        <f t="shared" si="38"/>
        <v>1</v>
      </c>
      <c r="H480" s="1"/>
      <c r="I480" s="1"/>
    </row>
    <row r="481" spans="1:9" ht="52.5">
      <c r="A481" s="60" t="s">
        <v>10</v>
      </c>
      <c r="B481" s="91">
        <v>1006</v>
      </c>
      <c r="C481" s="91" t="s">
        <v>11</v>
      </c>
      <c r="D481" s="60"/>
      <c r="E481" s="92">
        <f t="shared" ref="E481:F484" si="41">E482</f>
        <v>277500</v>
      </c>
      <c r="F481" s="92">
        <f t="shared" si="41"/>
        <v>277500</v>
      </c>
      <c r="G481" s="101">
        <f t="shared" si="38"/>
        <v>1</v>
      </c>
      <c r="H481" s="1"/>
      <c r="I481" s="1"/>
    </row>
    <row r="482" spans="1:9" ht="22.5">
      <c r="A482" s="93" t="s">
        <v>381</v>
      </c>
      <c r="B482" s="94">
        <v>1006</v>
      </c>
      <c r="C482" s="94" t="s">
        <v>382</v>
      </c>
      <c r="D482" s="93"/>
      <c r="E482" s="46">
        <f t="shared" si="41"/>
        <v>277500</v>
      </c>
      <c r="F482" s="46">
        <f t="shared" si="41"/>
        <v>277500</v>
      </c>
      <c r="G482" s="101">
        <f t="shared" si="38"/>
        <v>1</v>
      </c>
      <c r="H482" s="1"/>
      <c r="I482" s="1"/>
    </row>
    <row r="483" spans="1:9" ht="22.5">
      <c r="A483" s="95" t="s">
        <v>383</v>
      </c>
      <c r="B483" s="96">
        <v>1006</v>
      </c>
      <c r="C483" s="96" t="s">
        <v>384</v>
      </c>
      <c r="D483" s="95"/>
      <c r="E483" s="50">
        <f t="shared" si="41"/>
        <v>277500</v>
      </c>
      <c r="F483" s="50">
        <f t="shared" si="41"/>
        <v>277500</v>
      </c>
      <c r="G483" s="101">
        <f t="shared" si="38"/>
        <v>1</v>
      </c>
      <c r="H483" s="1"/>
      <c r="I483" s="1"/>
    </row>
    <row r="484" spans="1:9" ht="12.75">
      <c r="A484" s="58" t="s">
        <v>493</v>
      </c>
      <c r="B484" s="97">
        <v>1006</v>
      </c>
      <c r="C484" s="59" t="s">
        <v>494</v>
      </c>
      <c r="D484" s="58"/>
      <c r="E484" s="54">
        <f t="shared" si="41"/>
        <v>277500</v>
      </c>
      <c r="F484" s="54">
        <f t="shared" si="41"/>
        <v>277500</v>
      </c>
      <c r="G484" s="101">
        <f t="shared" si="38"/>
        <v>1</v>
      </c>
      <c r="H484" s="1"/>
      <c r="I484" s="1"/>
    </row>
    <row r="485" spans="1:9" ht="12.75">
      <c r="A485" s="51" t="s">
        <v>83</v>
      </c>
      <c r="B485" s="53">
        <v>1006</v>
      </c>
      <c r="C485" s="59" t="s">
        <v>494</v>
      </c>
      <c r="D485" s="53">
        <v>500</v>
      </c>
      <c r="E485" s="54">
        <v>277500</v>
      </c>
      <c r="F485" s="54">
        <v>277500</v>
      </c>
      <c r="G485" s="101">
        <f t="shared" si="38"/>
        <v>1</v>
      </c>
      <c r="H485" s="1"/>
      <c r="I485" s="1"/>
    </row>
    <row r="486" spans="1:9" ht="52.5">
      <c r="A486" s="17" t="s">
        <v>10</v>
      </c>
      <c r="B486" s="13" t="s">
        <v>399</v>
      </c>
      <c r="C486" s="13" t="s">
        <v>11</v>
      </c>
      <c r="D486" s="13"/>
      <c r="E486" s="18">
        <f>E487</f>
        <v>30000</v>
      </c>
      <c r="F486" s="18">
        <f>F487</f>
        <v>25000</v>
      </c>
      <c r="G486" s="101">
        <f t="shared" si="38"/>
        <v>0.83333333333333337</v>
      </c>
      <c r="H486" s="1"/>
      <c r="I486" s="1"/>
    </row>
    <row r="487" spans="1:9" ht="22.5">
      <c r="A487" s="19" t="s">
        <v>381</v>
      </c>
      <c r="B487" s="20" t="s">
        <v>399</v>
      </c>
      <c r="C487" s="20" t="s">
        <v>382</v>
      </c>
      <c r="D487" s="20"/>
      <c r="E487" s="21">
        <f>E488</f>
        <v>30000</v>
      </c>
      <c r="F487" s="21">
        <f>F488</f>
        <v>25000</v>
      </c>
      <c r="G487" s="101">
        <f t="shared" si="38"/>
        <v>0.83333333333333337</v>
      </c>
      <c r="H487" s="1"/>
      <c r="I487" s="1"/>
    </row>
    <row r="488" spans="1:9" ht="22.5">
      <c r="A488" s="22" t="s">
        <v>383</v>
      </c>
      <c r="B488" s="23" t="s">
        <v>399</v>
      </c>
      <c r="C488" s="23" t="s">
        <v>384</v>
      </c>
      <c r="D488" s="23"/>
      <c r="E488" s="24">
        <f>E489+E491</f>
        <v>30000</v>
      </c>
      <c r="F488" s="24">
        <f>F489+F491</f>
        <v>25000</v>
      </c>
      <c r="G488" s="101">
        <f t="shared" si="38"/>
        <v>0.83333333333333337</v>
      </c>
      <c r="H488" s="1"/>
      <c r="I488" s="1"/>
    </row>
    <row r="489" spans="1:9" ht="12.75">
      <c r="A489" s="14" t="s">
        <v>403</v>
      </c>
      <c r="B489" s="15" t="s">
        <v>399</v>
      </c>
      <c r="C489" s="15" t="s">
        <v>404</v>
      </c>
      <c r="D489" s="15"/>
      <c r="E489" s="16">
        <f>E490</f>
        <v>10000</v>
      </c>
      <c r="F489" s="16">
        <f>F490</f>
        <v>5000</v>
      </c>
      <c r="G489" s="101">
        <f t="shared" si="38"/>
        <v>0.5</v>
      </c>
      <c r="H489" s="1"/>
      <c r="I489" s="1"/>
    </row>
    <row r="490" spans="1:9" ht="12.75">
      <c r="A490" s="14" t="s">
        <v>106</v>
      </c>
      <c r="B490" s="15" t="s">
        <v>399</v>
      </c>
      <c r="C490" s="15" t="s">
        <v>404</v>
      </c>
      <c r="D490" s="15" t="s">
        <v>107</v>
      </c>
      <c r="E490" s="6">
        <v>10000</v>
      </c>
      <c r="F490" s="6">
        <v>5000</v>
      </c>
      <c r="G490" s="101">
        <f t="shared" si="38"/>
        <v>0.5</v>
      </c>
      <c r="H490" s="1"/>
      <c r="I490" s="1"/>
    </row>
    <row r="491" spans="1:9" ht="12.75">
      <c r="A491" s="14" t="s">
        <v>405</v>
      </c>
      <c r="B491" s="15" t="s">
        <v>399</v>
      </c>
      <c r="C491" s="15" t="s">
        <v>406</v>
      </c>
      <c r="D491" s="15"/>
      <c r="E491" s="16">
        <f>E492</f>
        <v>20000</v>
      </c>
      <c r="F491" s="16">
        <f>F492</f>
        <v>20000</v>
      </c>
      <c r="G491" s="101">
        <f t="shared" si="38"/>
        <v>1</v>
      </c>
      <c r="H491" s="1"/>
      <c r="I491" s="1"/>
    </row>
    <row r="492" spans="1:9" ht="12.75">
      <c r="A492" s="14" t="s">
        <v>38</v>
      </c>
      <c r="B492" s="15" t="s">
        <v>399</v>
      </c>
      <c r="C492" s="15" t="s">
        <v>406</v>
      </c>
      <c r="D492" s="15" t="s">
        <v>39</v>
      </c>
      <c r="E492" s="16">
        <v>20000</v>
      </c>
      <c r="F492" s="16">
        <v>20000</v>
      </c>
      <c r="G492" s="101">
        <f t="shared" si="38"/>
        <v>1</v>
      </c>
      <c r="H492" s="1"/>
      <c r="I492" s="1"/>
    </row>
    <row r="493" spans="1:9" ht="12.75">
      <c r="A493" s="14" t="s">
        <v>407</v>
      </c>
      <c r="B493" s="15" t="s">
        <v>408</v>
      </c>
      <c r="C493" s="15"/>
      <c r="D493" s="15"/>
      <c r="E493" s="16">
        <f>E494+E512</f>
        <v>2169699.7999999998</v>
      </c>
      <c r="F493" s="16">
        <f>F494+F512</f>
        <v>2169699.7999999998</v>
      </c>
      <c r="G493" s="101">
        <f t="shared" si="38"/>
        <v>1</v>
      </c>
      <c r="H493" s="1"/>
      <c r="I493" s="1"/>
    </row>
    <row r="494" spans="1:9" ht="12.75">
      <c r="A494" s="14" t="s">
        <v>409</v>
      </c>
      <c r="B494" s="15" t="s">
        <v>410</v>
      </c>
      <c r="C494" s="15"/>
      <c r="D494" s="15"/>
      <c r="E494" s="16">
        <f>E495</f>
        <v>1288699.8</v>
      </c>
      <c r="F494" s="16">
        <f>F495</f>
        <v>1288699.8</v>
      </c>
      <c r="G494" s="101">
        <f t="shared" si="38"/>
        <v>1</v>
      </c>
      <c r="H494" s="1"/>
      <c r="I494" s="1"/>
    </row>
    <row r="495" spans="1:9" ht="31.5">
      <c r="A495" s="17" t="s">
        <v>67</v>
      </c>
      <c r="B495" s="13" t="s">
        <v>410</v>
      </c>
      <c r="C495" s="13" t="s">
        <v>68</v>
      </c>
      <c r="D495" s="13"/>
      <c r="E495" s="18">
        <f>E496+E500</f>
        <v>1288699.8</v>
      </c>
      <c r="F495" s="18">
        <f>F496+F500</f>
        <v>1288699.8</v>
      </c>
      <c r="G495" s="101">
        <f t="shared" si="38"/>
        <v>1</v>
      </c>
      <c r="H495" s="1"/>
      <c r="I495" s="1"/>
    </row>
    <row r="496" spans="1:9" ht="22.5">
      <c r="A496" s="19" t="s">
        <v>278</v>
      </c>
      <c r="B496" s="20" t="s">
        <v>410</v>
      </c>
      <c r="C496" s="20" t="s">
        <v>279</v>
      </c>
      <c r="D496" s="20"/>
      <c r="E496" s="21">
        <f t="shared" ref="E496:F498" si="42">E497</f>
        <v>3720</v>
      </c>
      <c r="F496" s="21">
        <f t="shared" si="42"/>
        <v>3720</v>
      </c>
      <c r="G496" s="101">
        <f t="shared" si="38"/>
        <v>1</v>
      </c>
      <c r="H496" s="1"/>
      <c r="I496" s="1"/>
    </row>
    <row r="497" spans="1:9" ht="12.75">
      <c r="A497" s="22" t="s">
        <v>318</v>
      </c>
      <c r="B497" s="23" t="s">
        <v>410</v>
      </c>
      <c r="C497" s="23" t="s">
        <v>319</v>
      </c>
      <c r="D497" s="23"/>
      <c r="E497" s="24">
        <f t="shared" si="42"/>
        <v>3720</v>
      </c>
      <c r="F497" s="24">
        <f t="shared" si="42"/>
        <v>3720</v>
      </c>
      <c r="G497" s="101">
        <f t="shared" si="38"/>
        <v>1</v>
      </c>
      <c r="H497" s="1"/>
      <c r="I497" s="1"/>
    </row>
    <row r="498" spans="1:9" ht="56.25">
      <c r="A498" s="63" t="s">
        <v>411</v>
      </c>
      <c r="B498" s="15" t="s">
        <v>410</v>
      </c>
      <c r="C498" s="15" t="s">
        <v>321</v>
      </c>
      <c r="D498" s="15"/>
      <c r="E498" s="16">
        <f t="shared" si="42"/>
        <v>3720</v>
      </c>
      <c r="F498" s="16">
        <f t="shared" si="42"/>
        <v>3720</v>
      </c>
      <c r="G498" s="101">
        <f t="shared" si="38"/>
        <v>1</v>
      </c>
      <c r="H498" s="1"/>
      <c r="I498" s="1"/>
    </row>
    <row r="499" spans="1:9" ht="22.5">
      <c r="A499" s="64" t="s">
        <v>178</v>
      </c>
      <c r="B499" s="65" t="s">
        <v>410</v>
      </c>
      <c r="C499" s="15" t="s">
        <v>321</v>
      </c>
      <c r="D499" s="15" t="s">
        <v>179</v>
      </c>
      <c r="E499" s="6">
        <f>231000-227280</f>
        <v>3720</v>
      </c>
      <c r="F499" s="6">
        <f>231000-227280</f>
        <v>3720</v>
      </c>
      <c r="G499" s="101">
        <f t="shared" si="38"/>
        <v>1</v>
      </c>
      <c r="H499" s="1"/>
      <c r="I499" s="1"/>
    </row>
    <row r="500" spans="1:9" ht="22.5">
      <c r="A500" s="86" t="s">
        <v>412</v>
      </c>
      <c r="B500" s="20" t="s">
        <v>410</v>
      </c>
      <c r="C500" s="20" t="s">
        <v>413</v>
      </c>
      <c r="D500" s="20"/>
      <c r="E500" s="21">
        <f>E501</f>
        <v>1284979.8</v>
      </c>
      <c r="F500" s="21">
        <f>F501</f>
        <v>1284979.8</v>
      </c>
      <c r="G500" s="101">
        <f t="shared" si="38"/>
        <v>1</v>
      </c>
      <c r="H500" s="1"/>
      <c r="I500" s="1"/>
    </row>
    <row r="501" spans="1:9" ht="12.75">
      <c r="A501" s="22" t="s">
        <v>414</v>
      </c>
      <c r="B501" s="23" t="s">
        <v>410</v>
      </c>
      <c r="C501" s="23" t="s">
        <v>415</v>
      </c>
      <c r="D501" s="23"/>
      <c r="E501" s="24">
        <f>E502+E504+E506+E510+E508</f>
        <v>1284979.8</v>
      </c>
      <c r="F501" s="24">
        <f>F502+F504+F506+F510+F508</f>
        <v>1284979.8</v>
      </c>
      <c r="G501" s="101">
        <f t="shared" si="38"/>
        <v>1</v>
      </c>
      <c r="H501" s="1"/>
      <c r="I501" s="1"/>
    </row>
    <row r="502" spans="1:9" ht="22.5">
      <c r="A502" s="63" t="s">
        <v>416</v>
      </c>
      <c r="B502" s="15" t="s">
        <v>410</v>
      </c>
      <c r="C502" s="15" t="s">
        <v>417</v>
      </c>
      <c r="D502" s="15"/>
      <c r="E502" s="16">
        <f>E503</f>
        <v>1979.8</v>
      </c>
      <c r="F502" s="16">
        <f>F503</f>
        <v>1979.8</v>
      </c>
      <c r="G502" s="101">
        <f t="shared" si="38"/>
        <v>1</v>
      </c>
      <c r="H502" s="1"/>
      <c r="I502" s="1"/>
    </row>
    <row r="503" spans="1:9" ht="22.5">
      <c r="A503" s="64" t="s">
        <v>178</v>
      </c>
      <c r="B503" s="65" t="s">
        <v>410</v>
      </c>
      <c r="C503" s="15" t="s">
        <v>417</v>
      </c>
      <c r="D503" s="15" t="s">
        <v>179</v>
      </c>
      <c r="E503" s="16">
        <v>1979.8</v>
      </c>
      <c r="F503" s="16">
        <v>1979.8</v>
      </c>
      <c r="G503" s="101">
        <f t="shared" si="38"/>
        <v>1</v>
      </c>
      <c r="H503" s="1"/>
      <c r="I503" s="1"/>
    </row>
    <row r="504" spans="1:9" ht="12.75">
      <c r="A504" s="79" t="s">
        <v>418</v>
      </c>
      <c r="B504" s="15" t="s">
        <v>410</v>
      </c>
      <c r="C504" s="15" t="s">
        <v>419</v>
      </c>
      <c r="D504" s="15"/>
      <c r="E504" s="16">
        <f>E505</f>
        <v>837000</v>
      </c>
      <c r="F504" s="16">
        <f>F505</f>
        <v>837000</v>
      </c>
      <c r="G504" s="101">
        <f t="shared" si="38"/>
        <v>1</v>
      </c>
      <c r="H504" s="1"/>
      <c r="I504" s="1"/>
    </row>
    <row r="505" spans="1:9" ht="22.5">
      <c r="A505" s="64" t="s">
        <v>178</v>
      </c>
      <c r="B505" s="67" t="s">
        <v>410</v>
      </c>
      <c r="C505" s="8" t="s">
        <v>419</v>
      </c>
      <c r="D505" s="8" t="s">
        <v>179</v>
      </c>
      <c r="E505" s="6">
        <v>837000</v>
      </c>
      <c r="F505" s="6">
        <v>837000</v>
      </c>
      <c r="G505" s="101">
        <f t="shared" si="38"/>
        <v>1</v>
      </c>
      <c r="H505" s="1"/>
      <c r="I505" s="1"/>
    </row>
    <row r="506" spans="1:9" ht="12.75" hidden="1">
      <c r="A506" s="68" t="s">
        <v>420</v>
      </c>
      <c r="B506" s="15" t="s">
        <v>410</v>
      </c>
      <c r="C506" s="15" t="s">
        <v>421</v>
      </c>
      <c r="D506" s="15"/>
      <c r="E506" s="16">
        <f>E507</f>
        <v>0</v>
      </c>
      <c r="F506" s="16">
        <f>F507</f>
        <v>0</v>
      </c>
      <c r="G506" s="101" t="e">
        <f t="shared" si="38"/>
        <v>#DIV/0!</v>
      </c>
      <c r="H506" s="1"/>
      <c r="I506" s="1"/>
    </row>
    <row r="507" spans="1:9" ht="22.5" hidden="1">
      <c r="A507" s="14" t="s">
        <v>26</v>
      </c>
      <c r="B507" s="15" t="s">
        <v>410</v>
      </c>
      <c r="C507" s="15" t="s">
        <v>421</v>
      </c>
      <c r="D507" s="15" t="s">
        <v>37</v>
      </c>
      <c r="E507" s="6"/>
      <c r="F507" s="6"/>
      <c r="G507" s="101" t="e">
        <f t="shared" si="38"/>
        <v>#DIV/0!</v>
      </c>
      <c r="H507" s="1"/>
      <c r="I507" s="1"/>
    </row>
    <row r="508" spans="1:9" ht="12.75">
      <c r="A508" s="7" t="s">
        <v>422</v>
      </c>
      <c r="B508" s="8">
        <v>1101</v>
      </c>
      <c r="C508" s="9" t="s">
        <v>423</v>
      </c>
      <c r="D508" s="8"/>
      <c r="E508" s="6">
        <v>250000</v>
      </c>
      <c r="F508" s="6">
        <v>250000</v>
      </c>
      <c r="G508" s="101">
        <f t="shared" si="38"/>
        <v>1</v>
      </c>
      <c r="H508" s="1"/>
      <c r="I508" s="1"/>
    </row>
    <row r="509" spans="1:9" ht="22.5">
      <c r="A509" s="7" t="s">
        <v>178</v>
      </c>
      <c r="B509" s="8">
        <v>1101</v>
      </c>
      <c r="C509" s="9" t="s">
        <v>423</v>
      </c>
      <c r="D509" s="8">
        <v>600</v>
      </c>
      <c r="E509" s="6">
        <v>250000</v>
      </c>
      <c r="F509" s="6">
        <v>250000</v>
      </c>
      <c r="G509" s="101">
        <f t="shared" si="38"/>
        <v>1</v>
      </c>
      <c r="H509" s="1"/>
      <c r="I509" s="1"/>
    </row>
    <row r="510" spans="1:9" ht="22.5">
      <c r="A510" s="63" t="s">
        <v>424</v>
      </c>
      <c r="B510" s="15" t="s">
        <v>410</v>
      </c>
      <c r="C510" s="15" t="s">
        <v>425</v>
      </c>
      <c r="D510" s="15"/>
      <c r="E510" s="16">
        <f>E511</f>
        <v>196000</v>
      </c>
      <c r="F510" s="16">
        <f>F511</f>
        <v>196000</v>
      </c>
      <c r="G510" s="101">
        <f t="shared" si="38"/>
        <v>1</v>
      </c>
      <c r="H510" s="1"/>
      <c r="I510" s="1"/>
    </row>
    <row r="511" spans="1:9" ht="22.5">
      <c r="A511" s="66" t="s">
        <v>182</v>
      </c>
      <c r="B511" s="65" t="s">
        <v>410</v>
      </c>
      <c r="C511" s="15" t="s">
        <v>425</v>
      </c>
      <c r="D511" s="15" t="s">
        <v>179</v>
      </c>
      <c r="E511" s="6">
        <v>196000</v>
      </c>
      <c r="F511" s="6">
        <v>196000</v>
      </c>
      <c r="G511" s="101">
        <f t="shared" si="38"/>
        <v>1</v>
      </c>
      <c r="H511" s="1"/>
      <c r="I511" s="1"/>
    </row>
    <row r="512" spans="1:9" ht="12.75">
      <c r="A512" s="7" t="s">
        <v>426</v>
      </c>
      <c r="B512" s="8">
        <v>1102</v>
      </c>
      <c r="C512" s="9"/>
      <c r="D512" s="8"/>
      <c r="E512" s="6">
        <f t="shared" ref="E512:F514" si="43">E513</f>
        <v>881000</v>
      </c>
      <c r="F512" s="6">
        <f t="shared" si="43"/>
        <v>881000</v>
      </c>
      <c r="G512" s="101">
        <f t="shared" si="38"/>
        <v>1</v>
      </c>
      <c r="H512" s="1"/>
      <c r="I512" s="1"/>
    </row>
    <row r="513" spans="1:9" ht="31.5">
      <c r="A513" s="39" t="s">
        <v>427</v>
      </c>
      <c r="B513" s="8">
        <v>1102</v>
      </c>
      <c r="C513" s="42" t="s">
        <v>68</v>
      </c>
      <c r="D513" s="33"/>
      <c r="E513" s="34">
        <f t="shared" si="43"/>
        <v>881000</v>
      </c>
      <c r="F513" s="34">
        <f t="shared" si="43"/>
        <v>881000</v>
      </c>
      <c r="G513" s="101">
        <f t="shared" si="38"/>
        <v>1</v>
      </c>
      <c r="H513" s="1"/>
      <c r="I513" s="1"/>
    </row>
    <row r="514" spans="1:9" ht="22.5">
      <c r="A514" s="35" t="s">
        <v>412</v>
      </c>
      <c r="B514" s="8">
        <v>1102</v>
      </c>
      <c r="C514" s="40" t="s">
        <v>413</v>
      </c>
      <c r="D514" s="36"/>
      <c r="E514" s="27">
        <f t="shared" si="43"/>
        <v>881000</v>
      </c>
      <c r="F514" s="27">
        <f t="shared" si="43"/>
        <v>881000</v>
      </c>
      <c r="G514" s="101">
        <f t="shared" si="38"/>
        <v>1</v>
      </c>
      <c r="H514" s="1"/>
      <c r="I514" s="1"/>
    </row>
    <row r="515" spans="1:9" ht="12.75">
      <c r="A515" s="37" t="s">
        <v>428</v>
      </c>
      <c r="B515" s="8">
        <v>1102</v>
      </c>
      <c r="C515" s="41" t="s">
        <v>415</v>
      </c>
      <c r="D515" s="38"/>
      <c r="E515" s="29">
        <f>E516+E518+E520</f>
        <v>881000</v>
      </c>
      <c r="F515" s="29">
        <f>F516+F518+F520</f>
        <v>881000</v>
      </c>
      <c r="G515" s="101">
        <f t="shared" si="38"/>
        <v>1</v>
      </c>
      <c r="H515" s="1"/>
      <c r="I515" s="1"/>
    </row>
    <row r="516" spans="1:9" ht="22.5">
      <c r="A516" s="7" t="s">
        <v>429</v>
      </c>
      <c r="B516" s="8">
        <v>1102</v>
      </c>
      <c r="C516" s="9" t="s">
        <v>430</v>
      </c>
      <c r="D516" s="8"/>
      <c r="E516" s="6">
        <f>E517</f>
        <v>528000</v>
      </c>
      <c r="F516" s="6">
        <f>F517</f>
        <v>528000</v>
      </c>
      <c r="G516" s="101">
        <f t="shared" si="38"/>
        <v>1</v>
      </c>
      <c r="H516" s="1"/>
      <c r="I516" s="1"/>
    </row>
    <row r="517" spans="1:9" ht="22.5">
      <c r="A517" s="7" t="s">
        <v>178</v>
      </c>
      <c r="B517" s="8">
        <v>1102</v>
      </c>
      <c r="C517" s="9" t="s">
        <v>430</v>
      </c>
      <c r="D517" s="8">
        <v>600</v>
      </c>
      <c r="E517" s="6">
        <v>528000</v>
      </c>
      <c r="F517" s="6">
        <v>528000</v>
      </c>
      <c r="G517" s="101">
        <f t="shared" si="38"/>
        <v>1</v>
      </c>
      <c r="H517" s="1"/>
      <c r="I517" s="1"/>
    </row>
    <row r="518" spans="1:9" ht="22.5">
      <c r="A518" s="7" t="s">
        <v>431</v>
      </c>
      <c r="B518" s="8">
        <v>1102</v>
      </c>
      <c r="C518" s="9" t="s">
        <v>432</v>
      </c>
      <c r="D518" s="8"/>
      <c r="E518" s="6">
        <f>E519</f>
        <v>53000</v>
      </c>
      <c r="F518" s="6">
        <f>F519</f>
        <v>53000</v>
      </c>
      <c r="G518" s="101">
        <f t="shared" si="38"/>
        <v>1</v>
      </c>
      <c r="H518" s="1"/>
      <c r="I518" s="1"/>
    </row>
    <row r="519" spans="1:9" ht="17.25" customHeight="1">
      <c r="A519" s="7" t="s">
        <v>83</v>
      </c>
      <c r="B519" s="8">
        <v>1102</v>
      </c>
      <c r="C519" s="9" t="s">
        <v>432</v>
      </c>
      <c r="D519" s="8">
        <v>500</v>
      </c>
      <c r="E519" s="6">
        <v>53000</v>
      </c>
      <c r="F519" s="6">
        <v>53000</v>
      </c>
      <c r="G519" s="101">
        <f t="shared" si="38"/>
        <v>1</v>
      </c>
      <c r="H519" s="1"/>
      <c r="I519" s="1"/>
    </row>
    <row r="520" spans="1:9" ht="17.25" customHeight="1">
      <c r="A520" s="7" t="s">
        <v>499</v>
      </c>
      <c r="B520" s="8">
        <v>1102</v>
      </c>
      <c r="C520" s="25" t="s">
        <v>500</v>
      </c>
      <c r="D520" s="15"/>
      <c r="E520" s="16">
        <f>E521</f>
        <v>300000</v>
      </c>
      <c r="F520" s="16">
        <f>F521</f>
        <v>300000</v>
      </c>
      <c r="G520" s="101">
        <f t="shared" si="38"/>
        <v>1</v>
      </c>
      <c r="H520" s="1"/>
      <c r="I520" s="1"/>
    </row>
    <row r="521" spans="1:9" ht="17.25" customHeight="1">
      <c r="A521" s="14" t="s">
        <v>26</v>
      </c>
      <c r="B521" s="8">
        <v>1102</v>
      </c>
      <c r="C521" s="25" t="s">
        <v>500</v>
      </c>
      <c r="D521" s="15">
        <v>200</v>
      </c>
      <c r="E521" s="16">
        <f>340000-40000</f>
        <v>300000</v>
      </c>
      <c r="F521" s="16">
        <f>340000-40000</f>
        <v>300000</v>
      </c>
      <c r="G521" s="101">
        <f t="shared" si="38"/>
        <v>1</v>
      </c>
      <c r="H521" s="1"/>
      <c r="I521" s="1"/>
    </row>
    <row r="522" spans="1:9" s="4" customFormat="1">
      <c r="A522" s="68" t="s">
        <v>433</v>
      </c>
      <c r="B522" s="15">
        <v>1300</v>
      </c>
      <c r="C522" s="15"/>
      <c r="D522" s="15"/>
      <c r="E522" s="16">
        <f t="shared" ref="E522:F525" si="44">E523</f>
        <v>2600</v>
      </c>
      <c r="F522" s="16">
        <f t="shared" si="44"/>
        <v>2587.4299999999998</v>
      </c>
      <c r="G522" s="101">
        <f t="shared" si="38"/>
        <v>0.99516538461538451</v>
      </c>
      <c r="H522" s="1"/>
      <c r="I522" s="1"/>
    </row>
    <row r="523" spans="1:9" s="4" customFormat="1">
      <c r="A523" s="14" t="s">
        <v>434</v>
      </c>
      <c r="B523" s="15">
        <v>1301</v>
      </c>
      <c r="C523" s="15"/>
      <c r="D523" s="15"/>
      <c r="E523" s="16">
        <f t="shared" si="44"/>
        <v>2600</v>
      </c>
      <c r="F523" s="16">
        <f t="shared" si="44"/>
        <v>2587.4299999999998</v>
      </c>
      <c r="G523" s="101">
        <f t="shared" si="38"/>
        <v>0.99516538461538451</v>
      </c>
      <c r="H523" s="1"/>
      <c r="I523" s="1"/>
    </row>
    <row r="524" spans="1:9" s="4" customFormat="1">
      <c r="A524" s="17" t="s">
        <v>22</v>
      </c>
      <c r="B524" s="13">
        <v>1301</v>
      </c>
      <c r="C524" s="32">
        <v>9000000000</v>
      </c>
      <c r="D524" s="13"/>
      <c r="E524" s="18">
        <f t="shared" si="44"/>
        <v>2600</v>
      </c>
      <c r="F524" s="18">
        <f t="shared" si="44"/>
        <v>2587.4299999999998</v>
      </c>
      <c r="G524" s="101">
        <f t="shared" si="38"/>
        <v>0.99516538461538451</v>
      </c>
      <c r="H524" s="1"/>
      <c r="I524" s="1"/>
    </row>
    <row r="525" spans="1:9" s="4" customFormat="1">
      <c r="A525" s="14" t="s">
        <v>435</v>
      </c>
      <c r="B525" s="15">
        <v>1301</v>
      </c>
      <c r="C525" s="25" t="s">
        <v>436</v>
      </c>
      <c r="D525" s="15"/>
      <c r="E525" s="16">
        <f t="shared" si="44"/>
        <v>2600</v>
      </c>
      <c r="F525" s="16">
        <f t="shared" si="44"/>
        <v>2587.4299999999998</v>
      </c>
      <c r="G525" s="101">
        <f t="shared" si="38"/>
        <v>0.99516538461538451</v>
      </c>
      <c r="H525" s="1"/>
      <c r="I525" s="1"/>
    </row>
    <row r="526" spans="1:9" s="4" customFormat="1">
      <c r="A526" s="14" t="s">
        <v>437</v>
      </c>
      <c r="B526" s="15">
        <v>1301</v>
      </c>
      <c r="C526" s="25" t="s">
        <v>436</v>
      </c>
      <c r="D526" s="15">
        <v>700</v>
      </c>
      <c r="E526" s="16">
        <f>1200+1400</f>
        <v>2600</v>
      </c>
      <c r="F526" s="16">
        <v>2587.4299999999998</v>
      </c>
      <c r="G526" s="101">
        <f t="shared" si="38"/>
        <v>0.99516538461538451</v>
      </c>
      <c r="H526" s="1"/>
      <c r="I526" s="1"/>
    </row>
    <row r="527" spans="1:9" ht="22.5">
      <c r="A527" s="14" t="s">
        <v>438</v>
      </c>
      <c r="B527" s="15" t="s">
        <v>439</v>
      </c>
      <c r="C527" s="15"/>
      <c r="D527" s="15"/>
      <c r="E527" s="16">
        <f t="shared" ref="E527:F530" si="45">E528</f>
        <v>4300575.76</v>
      </c>
      <c r="F527" s="16">
        <f t="shared" si="45"/>
        <v>4300575.76</v>
      </c>
      <c r="G527" s="101">
        <f t="shared" si="38"/>
        <v>1</v>
      </c>
      <c r="H527" s="1"/>
      <c r="I527" s="1"/>
    </row>
    <row r="528" spans="1:9" ht="22.5">
      <c r="A528" s="14" t="s">
        <v>440</v>
      </c>
      <c r="B528" s="15" t="s">
        <v>441</v>
      </c>
      <c r="C528" s="15"/>
      <c r="D528" s="15"/>
      <c r="E528" s="16">
        <f t="shared" si="45"/>
        <v>4300575.76</v>
      </c>
      <c r="F528" s="16">
        <f t="shared" si="45"/>
        <v>4300575.76</v>
      </c>
      <c r="G528" s="101">
        <f t="shared" si="38"/>
        <v>1</v>
      </c>
      <c r="H528" s="1"/>
      <c r="I528" s="1"/>
    </row>
    <row r="529" spans="1:9" ht="52.5">
      <c r="A529" s="17" t="s">
        <v>10</v>
      </c>
      <c r="B529" s="13" t="s">
        <v>441</v>
      </c>
      <c r="C529" s="13" t="s">
        <v>11</v>
      </c>
      <c r="D529" s="13"/>
      <c r="E529" s="18">
        <f t="shared" si="45"/>
        <v>4300575.76</v>
      </c>
      <c r="F529" s="18">
        <f t="shared" si="45"/>
        <v>4300575.76</v>
      </c>
      <c r="G529" s="101">
        <f t="shared" ref="G529:G538" si="46">F529/E529</f>
        <v>1</v>
      </c>
      <c r="H529" s="1"/>
      <c r="I529" s="1"/>
    </row>
    <row r="530" spans="1:9" ht="22.5">
      <c r="A530" s="19" t="s">
        <v>116</v>
      </c>
      <c r="B530" s="20" t="s">
        <v>441</v>
      </c>
      <c r="C530" s="20" t="s">
        <v>117</v>
      </c>
      <c r="D530" s="20"/>
      <c r="E530" s="21">
        <f t="shared" si="45"/>
        <v>4300575.76</v>
      </c>
      <c r="F530" s="21">
        <f t="shared" si="45"/>
        <v>4300575.76</v>
      </c>
      <c r="G530" s="101">
        <f t="shared" si="46"/>
        <v>1</v>
      </c>
      <c r="H530" s="1"/>
      <c r="I530" s="1"/>
    </row>
    <row r="531" spans="1:9" ht="22.5">
      <c r="A531" s="22" t="s">
        <v>118</v>
      </c>
      <c r="B531" s="23" t="s">
        <v>441</v>
      </c>
      <c r="C531" s="23" t="s">
        <v>119</v>
      </c>
      <c r="D531" s="23"/>
      <c r="E531" s="24">
        <f>E532+E534+E536</f>
        <v>4300575.76</v>
      </c>
      <c r="F531" s="24">
        <f>F532+F534+F536</f>
        <v>4300575.76</v>
      </c>
      <c r="G531" s="101">
        <f t="shared" si="46"/>
        <v>1</v>
      </c>
      <c r="H531" s="1"/>
      <c r="I531" s="1"/>
    </row>
    <row r="532" spans="1:9" ht="22.5">
      <c r="A532" s="14" t="s">
        <v>442</v>
      </c>
      <c r="B532" s="15" t="s">
        <v>441</v>
      </c>
      <c r="C532" s="9" t="s">
        <v>443</v>
      </c>
      <c r="D532" s="15"/>
      <c r="E532" s="16">
        <f>E533</f>
        <v>40575.760000000002</v>
      </c>
      <c r="F532" s="16">
        <f>F533</f>
        <v>40575.760000000002</v>
      </c>
      <c r="G532" s="101">
        <f t="shared" si="46"/>
        <v>1</v>
      </c>
      <c r="H532" s="1"/>
      <c r="I532" s="1"/>
    </row>
    <row r="533" spans="1:9" ht="12.75">
      <c r="A533" s="7" t="s">
        <v>83</v>
      </c>
      <c r="B533" s="8" t="s">
        <v>441</v>
      </c>
      <c r="C533" s="9" t="s">
        <v>443</v>
      </c>
      <c r="D533" s="8" t="s">
        <v>136</v>
      </c>
      <c r="E533" s="6">
        <v>40575.760000000002</v>
      </c>
      <c r="F533" s="6">
        <v>40575.760000000002</v>
      </c>
      <c r="G533" s="101">
        <f t="shared" si="46"/>
        <v>1</v>
      </c>
      <c r="H533" s="1"/>
      <c r="I533" s="1"/>
    </row>
    <row r="534" spans="1:9" ht="22.5">
      <c r="A534" s="14" t="s">
        <v>444</v>
      </c>
      <c r="B534" s="15" t="s">
        <v>441</v>
      </c>
      <c r="C534" s="15" t="s">
        <v>445</v>
      </c>
      <c r="D534" s="15"/>
      <c r="E534" s="16">
        <f>E535</f>
        <v>4017000</v>
      </c>
      <c r="F534" s="16">
        <f>F535</f>
        <v>4017000</v>
      </c>
      <c r="G534" s="101">
        <f t="shared" si="46"/>
        <v>1</v>
      </c>
      <c r="H534" s="1"/>
      <c r="I534" s="1"/>
    </row>
    <row r="535" spans="1:9" ht="12.75">
      <c r="A535" s="7" t="s">
        <v>83</v>
      </c>
      <c r="B535" s="8" t="s">
        <v>441</v>
      </c>
      <c r="C535" s="8" t="s">
        <v>445</v>
      </c>
      <c r="D535" s="8" t="s">
        <v>136</v>
      </c>
      <c r="E535" s="6">
        <v>4017000</v>
      </c>
      <c r="F535" s="6">
        <v>4017000</v>
      </c>
      <c r="G535" s="101">
        <f t="shared" si="46"/>
        <v>1</v>
      </c>
      <c r="H535" s="1"/>
      <c r="I535" s="1"/>
    </row>
    <row r="536" spans="1:9" ht="22.5">
      <c r="A536" s="14" t="s">
        <v>446</v>
      </c>
      <c r="B536" s="15" t="s">
        <v>441</v>
      </c>
      <c r="C536" s="15" t="s">
        <v>447</v>
      </c>
      <c r="D536" s="15"/>
      <c r="E536" s="16">
        <f>E537</f>
        <v>243000</v>
      </c>
      <c r="F536" s="16">
        <f>F537</f>
        <v>243000</v>
      </c>
      <c r="G536" s="101">
        <f t="shared" si="46"/>
        <v>1</v>
      </c>
      <c r="H536" s="1"/>
      <c r="I536" s="1"/>
    </row>
    <row r="537" spans="1:9" ht="12.75">
      <c r="A537" s="14" t="s">
        <v>83</v>
      </c>
      <c r="B537" s="15" t="s">
        <v>441</v>
      </c>
      <c r="C537" s="15" t="s">
        <v>447</v>
      </c>
      <c r="D537" s="15" t="s">
        <v>136</v>
      </c>
      <c r="E537" s="16">
        <v>243000</v>
      </c>
      <c r="F537" s="16">
        <v>243000</v>
      </c>
      <c r="G537" s="101">
        <f t="shared" si="46"/>
        <v>1</v>
      </c>
      <c r="H537" s="1"/>
      <c r="I537" s="1"/>
    </row>
    <row r="538" spans="1:9" ht="12.75">
      <c r="A538" s="17" t="s">
        <v>448</v>
      </c>
      <c r="B538" s="13"/>
      <c r="C538" s="13"/>
      <c r="D538" s="13"/>
      <c r="E538" s="18">
        <f>E6+E134+E146+E174+E229+E275+E408+E453+E493+E522+E527</f>
        <v>360524008.97999996</v>
      </c>
      <c r="F538" s="18">
        <f>F6+F134+F146+F174+F229+F275+F408+F453+F493+F522+F527</f>
        <v>336633821.31000006</v>
      </c>
      <c r="G538" s="101">
        <f t="shared" si="46"/>
        <v>0.93373482188442769</v>
      </c>
      <c r="H538" s="1"/>
      <c r="I538" s="1"/>
    </row>
    <row r="539" spans="1:9">
      <c r="H539" s="1"/>
      <c r="I539" s="1"/>
    </row>
    <row r="540" spans="1:9">
      <c r="H540" s="1"/>
      <c r="I540" s="1"/>
    </row>
    <row r="541" spans="1:9" ht="43.35" customHeight="1">
      <c r="H541" s="1"/>
      <c r="I541" s="1"/>
    </row>
    <row r="542" spans="1:9" ht="130.15" customHeight="1">
      <c r="H542" s="1"/>
      <c r="I542" s="1"/>
    </row>
    <row r="543" spans="1:9" ht="14.45" customHeight="1">
      <c r="H543" s="1"/>
      <c r="I543" s="1"/>
    </row>
    <row r="544" spans="1:9" ht="14.45" customHeight="1">
      <c r="H544" s="1"/>
      <c r="I544" s="1"/>
    </row>
  </sheetData>
  <mergeCells count="2">
    <mergeCell ref="A3:G3"/>
    <mergeCell ref="B2:G2"/>
  </mergeCells>
  <pageMargins left="0.43307086614173229" right="0.23622047244094491" top="0.15748031496062992" bottom="0.15748031496062992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2025-03-25T12:39:02Z</cp:lastPrinted>
  <dcterms:modified xsi:type="dcterms:W3CDTF">2025-03-25T12:43:26Z</dcterms:modified>
</cp:coreProperties>
</file>